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/>
  <mc:AlternateContent xmlns:mc="http://schemas.openxmlformats.org/markup-compatibility/2006">
    <mc:Choice Requires="x15">
      <x15ac:absPath xmlns:x15ac="http://schemas.microsoft.com/office/spreadsheetml/2010/11/ac" url="Y:\Download\duthao_vb_871592\"/>
    </mc:Choice>
  </mc:AlternateContent>
  <xr:revisionPtr revIDLastSave="0" documentId="13_ncr:1_{8EB017C0-E8A1-42C6-8DDF-B2667A964A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9-NSNN cấp cho ĐVSNCL" sheetId="5" r:id="rId1"/>
    <sheet name="pl 09 cấp huyen" sheetId="10" state="hidden" r:id="rId2"/>
  </sheets>
  <definedNames>
    <definedName name="_xlnm._FilterDatabase" localSheetId="0" hidden="1">'PL9-NSNN cấp cho ĐVSNCL'!$A$9:$AN$177</definedName>
    <definedName name="_xlnm.Print_Area" localSheetId="0">'PL9-NSNN cấp cho ĐVSNCL'!$A$1:$AJ$177</definedName>
    <definedName name="_xlnm.Print_Titles" localSheetId="0">'PL9-NSNN cấp cho ĐVSNCL'!$6:$10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56" i="5" l="1"/>
  <c r="J155" i="5" s="1"/>
  <c r="K156" i="5"/>
  <c r="K155" i="5" s="1"/>
  <c r="M156" i="5"/>
  <c r="M155" i="5" s="1"/>
  <c r="S156" i="5"/>
  <c r="S155" i="5" s="1"/>
  <c r="U156" i="5"/>
  <c r="U155" i="5" s="1"/>
  <c r="V156" i="5"/>
  <c r="V155" i="5" s="1"/>
  <c r="W156" i="5"/>
  <c r="W155" i="5" s="1"/>
  <c r="X156" i="5"/>
  <c r="X155" i="5" s="1"/>
  <c r="AC156" i="5"/>
  <c r="AC155" i="5" s="1"/>
  <c r="AD156" i="5"/>
  <c r="AD155" i="5" s="1"/>
  <c r="AF156" i="5"/>
  <c r="AF155" i="5" s="1"/>
  <c r="AG156" i="5"/>
  <c r="AG155" i="5" s="1"/>
  <c r="AJ156" i="5"/>
  <c r="AJ155" i="5" s="1"/>
  <c r="E67" i="5" l="1"/>
  <c r="F67" i="5"/>
  <c r="J67" i="5"/>
  <c r="K67" i="5"/>
  <c r="L67" i="5"/>
  <c r="O67" i="5"/>
  <c r="P67" i="5"/>
  <c r="Q67" i="5"/>
  <c r="Z67" i="5"/>
  <c r="AA67" i="5"/>
  <c r="AJ67" i="5"/>
  <c r="D67" i="5"/>
  <c r="E153" i="5"/>
  <c r="F153" i="5"/>
  <c r="G153" i="5"/>
  <c r="J153" i="5"/>
  <c r="K153" i="5"/>
  <c r="L153" i="5"/>
  <c r="M153" i="5"/>
  <c r="O153" i="5"/>
  <c r="P153" i="5"/>
  <c r="Q153" i="5"/>
  <c r="R153" i="5"/>
  <c r="U153" i="5"/>
  <c r="V153" i="5"/>
  <c r="W153" i="5"/>
  <c r="X153" i="5"/>
  <c r="Z153" i="5"/>
  <c r="AA153" i="5"/>
  <c r="AB153" i="5"/>
  <c r="AG153" i="5"/>
  <c r="AH153" i="5"/>
  <c r="AI153" i="5"/>
  <c r="AJ153" i="5"/>
  <c r="D153" i="5"/>
  <c r="AE146" i="5"/>
  <c r="Y146" i="5"/>
  <c r="T146" i="5"/>
  <c r="N146" i="5"/>
  <c r="I146" i="5"/>
  <c r="C146" i="5"/>
  <c r="AE135" i="5"/>
  <c r="Y135" i="5"/>
  <c r="T135" i="5"/>
  <c r="N135" i="5"/>
  <c r="I135" i="5"/>
  <c r="C135" i="5"/>
  <c r="AE118" i="5"/>
  <c r="Y118" i="5"/>
  <c r="T118" i="5"/>
  <c r="I118" i="5"/>
  <c r="E116" i="5"/>
  <c r="F116" i="5"/>
  <c r="G116" i="5"/>
  <c r="H116" i="5"/>
  <c r="L116" i="5"/>
  <c r="O116" i="5"/>
  <c r="P116" i="5"/>
  <c r="Q116" i="5"/>
  <c r="S116" i="5"/>
  <c r="W116" i="5"/>
  <c r="Z116" i="5"/>
  <c r="AA116" i="5"/>
  <c r="AB116" i="5"/>
  <c r="AD116" i="5"/>
  <c r="AG116" i="5"/>
  <c r="AH116" i="5"/>
  <c r="D116" i="5"/>
  <c r="D110" i="5"/>
  <c r="J81" i="5"/>
  <c r="J80" i="5" s="1"/>
  <c r="K81" i="5"/>
  <c r="K80" i="5" s="1"/>
  <c r="L81" i="5"/>
  <c r="L80" i="5" s="1"/>
  <c r="O81" i="5"/>
  <c r="O80" i="5" s="1"/>
  <c r="P81" i="5"/>
  <c r="P80" i="5" s="1"/>
  <c r="Q81" i="5"/>
  <c r="Q80" i="5" s="1"/>
  <c r="R81" i="5"/>
  <c r="R80" i="5" s="1"/>
  <c r="S81" i="5"/>
  <c r="S80" i="5" s="1"/>
  <c r="U81" i="5"/>
  <c r="U80" i="5" s="1"/>
  <c r="V81" i="5"/>
  <c r="V80" i="5" s="1"/>
  <c r="W81" i="5"/>
  <c r="W80" i="5" s="1"/>
  <c r="X81" i="5"/>
  <c r="X80" i="5" s="1"/>
  <c r="Z81" i="5"/>
  <c r="Z80" i="5" s="1"/>
  <c r="AA81" i="5"/>
  <c r="AA80" i="5" s="1"/>
  <c r="AB81" i="5"/>
  <c r="AB80" i="5" s="1"/>
  <c r="AC81" i="5"/>
  <c r="AC80" i="5" s="1"/>
  <c r="AD81" i="5"/>
  <c r="AD80" i="5" s="1"/>
  <c r="AF81" i="5"/>
  <c r="AF80" i="5" s="1"/>
  <c r="AG81" i="5"/>
  <c r="AG80" i="5" s="1"/>
  <c r="AH81" i="5"/>
  <c r="AH80" i="5" s="1"/>
  <c r="AI81" i="5"/>
  <c r="AI80" i="5" s="1"/>
  <c r="AJ81" i="5"/>
  <c r="AJ80" i="5" s="1"/>
  <c r="E81" i="5"/>
  <c r="E80" i="5" s="1"/>
  <c r="F81" i="5"/>
  <c r="F80" i="5" s="1"/>
  <c r="G81" i="5"/>
  <c r="G80" i="5" s="1"/>
  <c r="H81" i="5"/>
  <c r="H80" i="5" s="1"/>
  <c r="D81" i="5"/>
  <c r="D80" i="5" s="1"/>
  <c r="AG110" i="5"/>
  <c r="AH110" i="5"/>
  <c r="AI110" i="5"/>
  <c r="AJ110" i="5"/>
  <c r="AF110" i="5"/>
  <c r="P111" i="5"/>
  <c r="Q111" i="5"/>
  <c r="R111" i="5"/>
  <c r="S111" i="5"/>
  <c r="O111" i="5"/>
  <c r="E110" i="5"/>
  <c r="F110" i="5"/>
  <c r="G110" i="5"/>
  <c r="H110" i="5"/>
  <c r="AJ11" i="5" l="1"/>
  <c r="N111" i="5"/>
  <c r="C123" i="5"/>
  <c r="I123" i="5"/>
  <c r="R123" i="5"/>
  <c r="T123" i="5"/>
  <c r="Y123" i="5"/>
  <c r="AE123" i="5"/>
  <c r="AE129" i="5"/>
  <c r="AE130" i="5"/>
  <c r="AE131" i="5"/>
  <c r="Y129" i="5"/>
  <c r="Y130" i="5"/>
  <c r="Y131" i="5"/>
  <c r="T131" i="5"/>
  <c r="T132" i="5"/>
  <c r="T129" i="5"/>
  <c r="N130" i="5"/>
  <c r="N131" i="5"/>
  <c r="N132" i="5"/>
  <c r="I131" i="5"/>
  <c r="I132" i="5"/>
  <c r="C131" i="5"/>
  <c r="AE14" i="5" l="1"/>
  <c r="AE18" i="5"/>
  <c r="AE19" i="5"/>
  <c r="AE23" i="5"/>
  <c r="AE24" i="5"/>
  <c r="AE26" i="5"/>
  <c r="AE27" i="5"/>
  <c r="AE28" i="5"/>
  <c r="AE29" i="5"/>
  <c r="AE30" i="5"/>
  <c r="AE31" i="5"/>
  <c r="AE32" i="5"/>
  <c r="AE33" i="5"/>
  <c r="AE34" i="5"/>
  <c r="AE35" i="5"/>
  <c r="AE36" i="5"/>
  <c r="AE43" i="5"/>
  <c r="AE45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9" i="5"/>
  <c r="AE70" i="5"/>
  <c r="AE71" i="5"/>
  <c r="AE72" i="5"/>
  <c r="AE73" i="5"/>
  <c r="AE75" i="5"/>
  <c r="AE76" i="5"/>
  <c r="AE77" i="5"/>
  <c r="AE78" i="5"/>
  <c r="AE82" i="5"/>
  <c r="AE83" i="5"/>
  <c r="AE84" i="5"/>
  <c r="AE85" i="5"/>
  <c r="AE86" i="5"/>
  <c r="AE87" i="5"/>
  <c r="AE88" i="5"/>
  <c r="AE89" i="5"/>
  <c r="AE90" i="5"/>
  <c r="AE91" i="5"/>
  <c r="AE93" i="5"/>
  <c r="AE94" i="5"/>
  <c r="AE95" i="5"/>
  <c r="AE96" i="5"/>
  <c r="AE97" i="5"/>
  <c r="AE98" i="5"/>
  <c r="AE99" i="5"/>
  <c r="AE100" i="5"/>
  <c r="AE101" i="5"/>
  <c r="AE102" i="5"/>
  <c r="AE104" i="5"/>
  <c r="AE106" i="5"/>
  <c r="AE108" i="5"/>
  <c r="AE109" i="5"/>
  <c r="AE111" i="5"/>
  <c r="AE114" i="5"/>
  <c r="AE117" i="5"/>
  <c r="AE120" i="5"/>
  <c r="AE121" i="5"/>
  <c r="AE122" i="5"/>
  <c r="AE124" i="5"/>
  <c r="AE125" i="5"/>
  <c r="AE126" i="5"/>
  <c r="AE127" i="5"/>
  <c r="AE128" i="5"/>
  <c r="AE132" i="5"/>
  <c r="AE133" i="5"/>
  <c r="AE134" i="5"/>
  <c r="AE136" i="5"/>
  <c r="AE137" i="5"/>
  <c r="AE138" i="5"/>
  <c r="AE140" i="5"/>
  <c r="AE141" i="5"/>
  <c r="AE142" i="5"/>
  <c r="AE143" i="5"/>
  <c r="AE144" i="5"/>
  <c r="AE145" i="5"/>
  <c r="AE147" i="5"/>
  <c r="AE148" i="5"/>
  <c r="AE150" i="5"/>
  <c r="AE151" i="5"/>
  <c r="AE154" i="5"/>
  <c r="AE158" i="5"/>
  <c r="AE159" i="5"/>
  <c r="AE160" i="5"/>
  <c r="AE161" i="5"/>
  <c r="AE162" i="5"/>
  <c r="AE163" i="5"/>
  <c r="AE165" i="5"/>
  <c r="AE166" i="5"/>
  <c r="AE167" i="5"/>
  <c r="AE168" i="5"/>
  <c r="AE170" i="5"/>
  <c r="AE171" i="5"/>
  <c r="AE172" i="5"/>
  <c r="AE173" i="5"/>
  <c r="AE174" i="5"/>
  <c r="AE175" i="5"/>
  <c r="AE176" i="5"/>
  <c r="AE177" i="5"/>
  <c r="AE13" i="5"/>
  <c r="Y18" i="5"/>
  <c r="Y19" i="5"/>
  <c r="Y23" i="5"/>
  <c r="Y24" i="5"/>
  <c r="Y25" i="5"/>
  <c r="Y26" i="5"/>
  <c r="Y27" i="5"/>
  <c r="Y28" i="5"/>
  <c r="Y29" i="5"/>
  <c r="Y30" i="5"/>
  <c r="Y31" i="5"/>
  <c r="Y32" i="5"/>
  <c r="Y33" i="5"/>
  <c r="Y34" i="5"/>
  <c r="Y35" i="5"/>
  <c r="Y36" i="5"/>
  <c r="Y39" i="5"/>
  <c r="Y40" i="5"/>
  <c r="Y41" i="5"/>
  <c r="Y43" i="5"/>
  <c r="Y44" i="5"/>
  <c r="Y45" i="5"/>
  <c r="Y46" i="5"/>
  <c r="Y49" i="5"/>
  <c r="Y50" i="5"/>
  <c r="Y51" i="5"/>
  <c r="Y52" i="5"/>
  <c r="Y53" i="5"/>
  <c r="Y54" i="5"/>
  <c r="Y55" i="5"/>
  <c r="Y56" i="5"/>
  <c r="Y57" i="5"/>
  <c r="Y58" i="5"/>
  <c r="Y59" i="5"/>
  <c r="Y60" i="5"/>
  <c r="Y61" i="5"/>
  <c r="Y62" i="5"/>
  <c r="Y63" i="5"/>
  <c r="Y64" i="5"/>
  <c r="Y65" i="5"/>
  <c r="Y66" i="5"/>
  <c r="Y68" i="5"/>
  <c r="Y73" i="5"/>
  <c r="Y74" i="5"/>
  <c r="Y75" i="5"/>
  <c r="Y76" i="5"/>
  <c r="Y77" i="5"/>
  <c r="Y78" i="5"/>
  <c r="Y82" i="5"/>
  <c r="Y83" i="5"/>
  <c r="Y84" i="5"/>
  <c r="Y85" i="5"/>
  <c r="Y86" i="5"/>
  <c r="Y87" i="5"/>
  <c r="Y88" i="5"/>
  <c r="Y89" i="5"/>
  <c r="Y90" i="5"/>
  <c r="Y91" i="5"/>
  <c r="Y93" i="5"/>
  <c r="Y94" i="5"/>
  <c r="Y95" i="5"/>
  <c r="Y96" i="5"/>
  <c r="Y97" i="5"/>
  <c r="Y98" i="5"/>
  <c r="Y99" i="5"/>
  <c r="Y100" i="5"/>
  <c r="Y102" i="5"/>
  <c r="Y104" i="5"/>
  <c r="Y106" i="5"/>
  <c r="Y107" i="5"/>
  <c r="Y108" i="5"/>
  <c r="Y109" i="5"/>
  <c r="Y111" i="5"/>
  <c r="Y114" i="5"/>
  <c r="Y117" i="5"/>
  <c r="Y119" i="5"/>
  <c r="Y120" i="5"/>
  <c r="Y121" i="5"/>
  <c r="Y122" i="5"/>
  <c r="Y124" i="5"/>
  <c r="Y125" i="5"/>
  <c r="Y126" i="5"/>
  <c r="Y127" i="5"/>
  <c r="Y128" i="5"/>
  <c r="Y132" i="5"/>
  <c r="Y134" i="5"/>
  <c r="Y136" i="5"/>
  <c r="Y137" i="5"/>
  <c r="Y138" i="5"/>
  <c r="Y139" i="5"/>
  <c r="Y140" i="5"/>
  <c r="Y141" i="5"/>
  <c r="Y142" i="5"/>
  <c r="Y143" i="5"/>
  <c r="Y144" i="5"/>
  <c r="Y145" i="5"/>
  <c r="Y147" i="5"/>
  <c r="Y148" i="5"/>
  <c r="Y149" i="5"/>
  <c r="Y150" i="5"/>
  <c r="Y151" i="5"/>
  <c r="Y158" i="5"/>
  <c r="Y159" i="5"/>
  <c r="Y160" i="5"/>
  <c r="Y161" i="5"/>
  <c r="Y162" i="5"/>
  <c r="Y163" i="5"/>
  <c r="Y165" i="5"/>
  <c r="Y166" i="5"/>
  <c r="Y167" i="5"/>
  <c r="Y168" i="5"/>
  <c r="Y170" i="5"/>
  <c r="Y171" i="5"/>
  <c r="Y172" i="5"/>
  <c r="Y173" i="5"/>
  <c r="Y174" i="5"/>
  <c r="Y175" i="5"/>
  <c r="Y176" i="5"/>
  <c r="Y177" i="5"/>
  <c r="Y13" i="5"/>
  <c r="T13" i="5"/>
  <c r="T14" i="5"/>
  <c r="T16" i="5"/>
  <c r="T18" i="5"/>
  <c r="T19" i="5"/>
  <c r="T23" i="5"/>
  <c r="T24" i="5"/>
  <c r="T26" i="5"/>
  <c r="T27" i="5"/>
  <c r="T28" i="5"/>
  <c r="T29" i="5"/>
  <c r="T30" i="5"/>
  <c r="T31" i="5"/>
  <c r="T32" i="5"/>
  <c r="T33" i="5"/>
  <c r="T34" i="5"/>
  <c r="T35" i="5"/>
  <c r="T36" i="5"/>
  <c r="T39" i="5"/>
  <c r="T40" i="5"/>
  <c r="T41" i="5"/>
  <c r="T43" i="5"/>
  <c r="T45" i="5"/>
  <c r="T49" i="5"/>
  <c r="T50" i="5"/>
  <c r="T51" i="5"/>
  <c r="T52" i="5"/>
  <c r="T53" i="5"/>
  <c r="T54" i="5"/>
  <c r="T55" i="5"/>
  <c r="T56" i="5"/>
  <c r="T57" i="5"/>
  <c r="T58" i="5"/>
  <c r="T59" i="5"/>
  <c r="T60" i="5"/>
  <c r="T61" i="5"/>
  <c r="T62" i="5"/>
  <c r="T63" i="5"/>
  <c r="T64" i="5"/>
  <c r="T65" i="5"/>
  <c r="T66" i="5"/>
  <c r="T69" i="5"/>
  <c r="T70" i="5"/>
  <c r="T71" i="5"/>
  <c r="T72" i="5"/>
  <c r="T73" i="5"/>
  <c r="T74" i="5"/>
  <c r="T75" i="5"/>
  <c r="T76" i="5"/>
  <c r="T77" i="5"/>
  <c r="T78" i="5"/>
  <c r="T82" i="5"/>
  <c r="T83" i="5"/>
  <c r="T84" i="5"/>
  <c r="T85" i="5"/>
  <c r="T86" i="5"/>
  <c r="T87" i="5"/>
  <c r="T88" i="5"/>
  <c r="T89" i="5"/>
  <c r="T90" i="5"/>
  <c r="T91" i="5"/>
  <c r="T93" i="5"/>
  <c r="T94" i="5"/>
  <c r="T95" i="5"/>
  <c r="T96" i="5"/>
  <c r="T97" i="5"/>
  <c r="T99" i="5"/>
  <c r="T102" i="5"/>
  <c r="T106" i="5"/>
  <c r="T107" i="5"/>
  <c r="T108" i="5"/>
  <c r="T109" i="5"/>
  <c r="T114" i="5"/>
  <c r="T117" i="5"/>
  <c r="T119" i="5"/>
  <c r="T121" i="5"/>
  <c r="T122" i="5"/>
  <c r="T124" i="5"/>
  <c r="T125" i="5"/>
  <c r="T126" i="5"/>
  <c r="T127" i="5"/>
  <c r="T128" i="5"/>
  <c r="T133" i="5"/>
  <c r="T134" i="5"/>
  <c r="T137" i="5"/>
  <c r="T138" i="5"/>
  <c r="T140" i="5"/>
  <c r="T141" i="5"/>
  <c r="T142" i="5"/>
  <c r="T143" i="5"/>
  <c r="T144" i="5"/>
  <c r="T145" i="5"/>
  <c r="T147" i="5"/>
  <c r="T148" i="5"/>
  <c r="T150" i="5"/>
  <c r="T154" i="5"/>
  <c r="T158" i="5"/>
  <c r="T159" i="5"/>
  <c r="T160" i="5"/>
  <c r="T161" i="5"/>
  <c r="T162" i="5"/>
  <c r="T163" i="5"/>
  <c r="T164" i="5"/>
  <c r="T165" i="5"/>
  <c r="T166" i="5"/>
  <c r="T167" i="5"/>
  <c r="T168" i="5"/>
  <c r="T169" i="5"/>
  <c r="T170" i="5"/>
  <c r="T171" i="5"/>
  <c r="T172" i="5"/>
  <c r="T173" i="5"/>
  <c r="T174" i="5"/>
  <c r="T175" i="5"/>
  <c r="T176" i="5"/>
  <c r="T177" i="5"/>
  <c r="I13" i="5"/>
  <c r="I14" i="5"/>
  <c r="I18" i="5"/>
  <c r="I19" i="5"/>
  <c r="I23" i="5"/>
  <c r="I24" i="5"/>
  <c r="I26" i="5"/>
  <c r="I27" i="5"/>
  <c r="I28" i="5"/>
  <c r="I29" i="5"/>
  <c r="I30" i="5"/>
  <c r="I31" i="5"/>
  <c r="I32" i="5"/>
  <c r="I33" i="5"/>
  <c r="I34" i="5"/>
  <c r="I35" i="5"/>
  <c r="I39" i="5"/>
  <c r="I41" i="5"/>
  <c r="I43" i="5"/>
  <c r="I44" i="5"/>
  <c r="I45" i="5"/>
  <c r="I46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8" i="5"/>
  <c r="I70" i="5"/>
  <c r="I72" i="5"/>
  <c r="I73" i="5"/>
  <c r="I74" i="5"/>
  <c r="I75" i="5"/>
  <c r="I76" i="5"/>
  <c r="I77" i="5"/>
  <c r="I78" i="5"/>
  <c r="I82" i="5"/>
  <c r="I83" i="5"/>
  <c r="I84" i="5"/>
  <c r="I85" i="5"/>
  <c r="I86" i="5"/>
  <c r="I87" i="5"/>
  <c r="I88" i="5"/>
  <c r="I89" i="5"/>
  <c r="I90" i="5"/>
  <c r="I93" i="5"/>
  <c r="I94" i="5"/>
  <c r="I95" i="5"/>
  <c r="I96" i="5"/>
  <c r="I97" i="5"/>
  <c r="I98" i="5"/>
  <c r="I99" i="5"/>
  <c r="I102" i="5"/>
  <c r="I106" i="5"/>
  <c r="I107" i="5"/>
  <c r="I108" i="5"/>
  <c r="I109" i="5"/>
  <c r="I111" i="5"/>
  <c r="I114" i="5"/>
  <c r="I117" i="5"/>
  <c r="I119" i="5"/>
  <c r="I120" i="5"/>
  <c r="I121" i="5"/>
  <c r="I122" i="5"/>
  <c r="I124" i="5"/>
  <c r="I125" i="5"/>
  <c r="I126" i="5"/>
  <c r="I127" i="5"/>
  <c r="I128" i="5"/>
  <c r="I129" i="5"/>
  <c r="I133" i="5"/>
  <c r="I134" i="5"/>
  <c r="I137" i="5"/>
  <c r="I138" i="5"/>
  <c r="I139" i="5"/>
  <c r="I140" i="5"/>
  <c r="I141" i="5"/>
  <c r="I142" i="5"/>
  <c r="I143" i="5"/>
  <c r="I144" i="5"/>
  <c r="I145" i="5"/>
  <c r="I147" i="5"/>
  <c r="I148" i="5"/>
  <c r="I150" i="5"/>
  <c r="I151" i="5"/>
  <c r="I154" i="5"/>
  <c r="I158" i="5"/>
  <c r="I159" i="5"/>
  <c r="I160" i="5"/>
  <c r="I161" i="5"/>
  <c r="I162" i="5"/>
  <c r="I163" i="5"/>
  <c r="I164" i="5"/>
  <c r="I165" i="5"/>
  <c r="I166" i="5"/>
  <c r="I167" i="5"/>
  <c r="I168" i="5"/>
  <c r="I170" i="5"/>
  <c r="I171" i="5"/>
  <c r="I172" i="5"/>
  <c r="I173" i="5"/>
  <c r="I174" i="5"/>
  <c r="I175" i="5"/>
  <c r="I176" i="5"/>
  <c r="I177" i="5"/>
  <c r="N18" i="5"/>
  <c r="N19" i="5"/>
  <c r="N23" i="5"/>
  <c r="N24" i="5"/>
  <c r="N25" i="5"/>
  <c r="N26" i="5"/>
  <c r="N27" i="5"/>
  <c r="N29" i="5"/>
  <c r="N30" i="5"/>
  <c r="N31" i="5"/>
  <c r="N32" i="5"/>
  <c r="N33" i="5"/>
  <c r="N34" i="5"/>
  <c r="N35" i="5"/>
  <c r="N36" i="5"/>
  <c r="N41" i="5"/>
  <c r="N43" i="5"/>
  <c r="N44" i="5"/>
  <c r="N45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8" i="5"/>
  <c r="N73" i="5"/>
  <c r="N74" i="5"/>
  <c r="N77" i="5"/>
  <c r="N78" i="5"/>
  <c r="N82" i="5"/>
  <c r="N83" i="5"/>
  <c r="N84" i="5"/>
  <c r="N85" i="5"/>
  <c r="N86" i="5"/>
  <c r="N87" i="5"/>
  <c r="N88" i="5"/>
  <c r="N89" i="5"/>
  <c r="N90" i="5"/>
  <c r="N91" i="5"/>
  <c r="N93" i="5"/>
  <c r="N94" i="5"/>
  <c r="N95" i="5"/>
  <c r="N96" i="5"/>
  <c r="N97" i="5"/>
  <c r="N99" i="5"/>
  <c r="N100" i="5"/>
  <c r="N102" i="5"/>
  <c r="N104" i="5"/>
  <c r="N106" i="5"/>
  <c r="N107" i="5"/>
  <c r="N108" i="5"/>
  <c r="N109" i="5"/>
  <c r="N114" i="5"/>
  <c r="N117" i="5"/>
  <c r="N119" i="5"/>
  <c r="N120" i="5"/>
  <c r="N121" i="5"/>
  <c r="N125" i="5"/>
  <c r="N126" i="5"/>
  <c r="N127" i="5"/>
  <c r="N128" i="5"/>
  <c r="N129" i="5"/>
  <c r="N133" i="5"/>
  <c r="N134" i="5"/>
  <c r="N136" i="5"/>
  <c r="N137" i="5"/>
  <c r="N138" i="5"/>
  <c r="N139" i="5"/>
  <c r="N140" i="5"/>
  <c r="N141" i="5"/>
  <c r="N142" i="5"/>
  <c r="N143" i="5"/>
  <c r="N144" i="5"/>
  <c r="N145" i="5"/>
  <c r="N147" i="5"/>
  <c r="N148" i="5"/>
  <c r="N149" i="5"/>
  <c r="N150" i="5"/>
  <c r="N151" i="5"/>
  <c r="N154" i="5"/>
  <c r="N158" i="5"/>
  <c r="N159" i="5"/>
  <c r="N160" i="5"/>
  <c r="N161" i="5"/>
  <c r="N162" i="5"/>
  <c r="N163" i="5"/>
  <c r="N165" i="5"/>
  <c r="N166" i="5"/>
  <c r="N167" i="5"/>
  <c r="N168" i="5"/>
  <c r="N170" i="5"/>
  <c r="N171" i="5"/>
  <c r="N172" i="5"/>
  <c r="N173" i="5"/>
  <c r="N174" i="5"/>
  <c r="N175" i="5"/>
  <c r="N176" i="5"/>
  <c r="N177" i="5"/>
  <c r="N13" i="5"/>
  <c r="C18" i="5"/>
  <c r="C19" i="5"/>
  <c r="C23" i="5"/>
  <c r="C24" i="5"/>
  <c r="C25" i="5"/>
  <c r="C26" i="5"/>
  <c r="C27" i="5"/>
  <c r="C29" i="5"/>
  <c r="C30" i="5"/>
  <c r="C31" i="5"/>
  <c r="C32" i="5"/>
  <c r="C33" i="5"/>
  <c r="C34" i="5"/>
  <c r="C35" i="5"/>
  <c r="C36" i="5"/>
  <c r="C39" i="5"/>
  <c r="C40" i="5"/>
  <c r="C41" i="5"/>
  <c r="C43" i="5"/>
  <c r="C44" i="5"/>
  <c r="C45" i="5"/>
  <c r="C46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8" i="5"/>
  <c r="C72" i="5"/>
  <c r="C73" i="5"/>
  <c r="C74" i="5"/>
  <c r="C77" i="5"/>
  <c r="C78" i="5"/>
  <c r="C80" i="5"/>
  <c r="C81" i="5"/>
  <c r="C82" i="5"/>
  <c r="C83" i="5"/>
  <c r="C84" i="5"/>
  <c r="C85" i="5"/>
  <c r="C86" i="5"/>
  <c r="C87" i="5"/>
  <c r="C88" i="5"/>
  <c r="C89" i="5"/>
  <c r="C90" i="5"/>
  <c r="C91" i="5"/>
  <c r="C93" i="5"/>
  <c r="C94" i="5"/>
  <c r="C95" i="5"/>
  <c r="C96" i="5"/>
  <c r="C97" i="5"/>
  <c r="C99" i="5"/>
  <c r="C100" i="5"/>
  <c r="C102" i="5"/>
  <c r="C104" i="5"/>
  <c r="C106" i="5"/>
  <c r="C107" i="5"/>
  <c r="C108" i="5"/>
  <c r="C109" i="5"/>
  <c r="C110" i="5"/>
  <c r="C111" i="5"/>
  <c r="C114" i="5"/>
  <c r="C116" i="5"/>
  <c r="C117" i="5"/>
  <c r="C119" i="5"/>
  <c r="C120" i="5"/>
  <c r="C121" i="5"/>
  <c r="C122" i="5"/>
  <c r="C124" i="5"/>
  <c r="C125" i="5"/>
  <c r="C126" i="5"/>
  <c r="C127" i="5"/>
  <c r="C128" i="5"/>
  <c r="C129" i="5"/>
  <c r="C130" i="5"/>
  <c r="C132" i="5"/>
  <c r="C133" i="5"/>
  <c r="C134" i="5"/>
  <c r="C136" i="5"/>
  <c r="C137" i="5"/>
  <c r="C138" i="5"/>
  <c r="C139" i="5"/>
  <c r="C140" i="5"/>
  <c r="C141" i="5"/>
  <c r="C142" i="5"/>
  <c r="C143" i="5"/>
  <c r="C144" i="5"/>
  <c r="C145" i="5"/>
  <c r="C147" i="5"/>
  <c r="C148" i="5"/>
  <c r="C149" i="5"/>
  <c r="C150" i="5"/>
  <c r="C151" i="5"/>
  <c r="C153" i="5"/>
  <c r="C154" i="5"/>
  <c r="C158" i="5"/>
  <c r="C159" i="5"/>
  <c r="C160" i="5"/>
  <c r="C161" i="5"/>
  <c r="C162" i="5"/>
  <c r="C163" i="5"/>
  <c r="C165" i="5"/>
  <c r="C166" i="5"/>
  <c r="C167" i="5"/>
  <c r="C168" i="5"/>
  <c r="C170" i="5"/>
  <c r="C172" i="5"/>
  <c r="C173" i="5"/>
  <c r="C174" i="5"/>
  <c r="C175" i="5"/>
  <c r="C176" i="5"/>
  <c r="C177" i="5"/>
  <c r="C13" i="5"/>
  <c r="T156" i="5" l="1"/>
  <c r="T155" i="5" s="1"/>
  <c r="N153" i="5"/>
  <c r="I153" i="5"/>
  <c r="T153" i="5"/>
  <c r="T81" i="5"/>
  <c r="T80" i="5" s="1"/>
  <c r="Y81" i="5"/>
  <c r="Y80" i="5" s="1"/>
  <c r="AE81" i="5"/>
  <c r="AE80" i="5" s="1"/>
  <c r="N81" i="5"/>
  <c r="N80" i="5" s="1"/>
  <c r="D22" i="5"/>
  <c r="U17" i="5"/>
  <c r="T17" i="5" s="1"/>
  <c r="Y17" i="5"/>
  <c r="U15" i="5"/>
  <c r="Y15" i="5"/>
  <c r="T15" i="5" l="1"/>
  <c r="N15" i="5"/>
  <c r="I15" i="5"/>
  <c r="N17" i="5"/>
  <c r="I17" i="5"/>
  <c r="C15" i="5"/>
  <c r="C17" i="5"/>
  <c r="AE15" i="5"/>
  <c r="C16" i="5"/>
  <c r="AE17" i="5"/>
  <c r="K47" i="5"/>
  <c r="L47" i="5"/>
  <c r="M47" i="5"/>
  <c r="J47" i="5"/>
  <c r="I47" i="5" l="1"/>
  <c r="AF74" i="5"/>
  <c r="AE74" i="5" s="1"/>
  <c r="AC133" i="5" l="1"/>
  <c r="Y133" i="5" l="1"/>
  <c r="Y116" i="5" s="1"/>
  <c r="AC116" i="5"/>
  <c r="AC154" i="5"/>
  <c r="Y154" i="5" l="1"/>
  <c r="Y153" i="5" s="1"/>
  <c r="AC153" i="5"/>
  <c r="S153" i="5"/>
  <c r="H153" i="5"/>
  <c r="F42" i="5"/>
  <c r="AI46" i="5"/>
  <c r="AG46" i="5"/>
  <c r="AF46" i="5"/>
  <c r="V46" i="5"/>
  <c r="U46" i="5"/>
  <c r="R46" i="5"/>
  <c r="AF44" i="5"/>
  <c r="AE44" i="5" s="1"/>
  <c r="V44" i="5"/>
  <c r="U44" i="5"/>
  <c r="O42" i="5"/>
  <c r="P42" i="5"/>
  <c r="Q42" i="5"/>
  <c r="S42" i="5"/>
  <c r="AE46" i="5" l="1"/>
  <c r="AE153" i="5"/>
  <c r="AF153" i="5"/>
  <c r="R42" i="5"/>
  <c r="N42" i="5" s="1"/>
  <c r="N46" i="5"/>
  <c r="T44" i="5"/>
  <c r="T46" i="5"/>
  <c r="AD153" i="5"/>
  <c r="AI139" i="5"/>
  <c r="X139" i="5"/>
  <c r="U139" i="5"/>
  <c r="U130" i="5"/>
  <c r="K130" i="5"/>
  <c r="J130" i="5"/>
  <c r="V120" i="5"/>
  <c r="T120" i="5" s="1"/>
  <c r="X98" i="5"/>
  <c r="T98" i="5" s="1"/>
  <c r="R98" i="5"/>
  <c r="N98" i="5" s="1"/>
  <c r="G98" i="5"/>
  <c r="C98" i="5" s="1"/>
  <c r="S76" i="5"/>
  <c r="R76" i="5"/>
  <c r="N76" i="5" s="1"/>
  <c r="H76" i="5"/>
  <c r="G76" i="5"/>
  <c r="C76" i="5" s="1"/>
  <c r="S75" i="5"/>
  <c r="R75" i="5"/>
  <c r="N75" i="5" s="1"/>
  <c r="H75" i="5"/>
  <c r="G75" i="5"/>
  <c r="C75" i="5" s="1"/>
  <c r="AD72" i="5"/>
  <c r="AC72" i="5"/>
  <c r="Y72" i="5" s="1"/>
  <c r="S72" i="5"/>
  <c r="R72" i="5"/>
  <c r="N72" i="5" s="1"/>
  <c r="H72" i="5"/>
  <c r="AD71" i="5"/>
  <c r="AC71" i="5"/>
  <c r="Y71" i="5" s="1"/>
  <c r="S71" i="5"/>
  <c r="R71" i="5"/>
  <c r="N71" i="5" s="1"/>
  <c r="M71" i="5"/>
  <c r="I71" i="5" s="1"/>
  <c r="H71" i="5"/>
  <c r="G71" i="5"/>
  <c r="C71" i="5" s="1"/>
  <c r="AD70" i="5"/>
  <c r="AC70" i="5"/>
  <c r="Y70" i="5" s="1"/>
  <c r="S70" i="5"/>
  <c r="R70" i="5"/>
  <c r="N70" i="5" s="1"/>
  <c r="H70" i="5"/>
  <c r="G70" i="5"/>
  <c r="C70" i="5" s="1"/>
  <c r="AD69" i="5"/>
  <c r="AC69" i="5"/>
  <c r="AB69" i="5"/>
  <c r="AB67" i="5" s="1"/>
  <c r="S69" i="5"/>
  <c r="R69" i="5"/>
  <c r="M69" i="5"/>
  <c r="H69" i="5"/>
  <c r="G69" i="5"/>
  <c r="R28" i="5"/>
  <c r="N28" i="5" s="1"/>
  <c r="G28" i="5"/>
  <c r="C28" i="5" s="1"/>
  <c r="AE20" i="5"/>
  <c r="Y20" i="5"/>
  <c r="T20" i="5"/>
  <c r="N20" i="5"/>
  <c r="I20" i="5"/>
  <c r="C20" i="5"/>
  <c r="AE16" i="5"/>
  <c r="Y16" i="5"/>
  <c r="N16" i="5"/>
  <c r="I16" i="5"/>
  <c r="Y14" i="5"/>
  <c r="N14" i="5"/>
  <c r="C14" i="5"/>
  <c r="H67" i="5" l="1"/>
  <c r="S67" i="5"/>
  <c r="AC67" i="5"/>
  <c r="AD67" i="5"/>
  <c r="C69" i="5"/>
  <c r="G67" i="5"/>
  <c r="I69" i="5"/>
  <c r="I67" i="5" s="1"/>
  <c r="M67" i="5"/>
  <c r="N69" i="5"/>
  <c r="N67" i="5" s="1"/>
  <c r="R67" i="5"/>
  <c r="AE139" i="5"/>
  <c r="AI116" i="5"/>
  <c r="I130" i="5"/>
  <c r="Y69" i="5"/>
  <c r="Y67" i="5" s="1"/>
  <c r="T139" i="5"/>
  <c r="R122" i="5" l="1"/>
  <c r="AH164" i="5"/>
  <c r="AB164" i="5"/>
  <c r="AA164" i="5"/>
  <c r="R164" i="5"/>
  <c r="R156" i="5" s="1"/>
  <c r="R155" i="5" s="1"/>
  <c r="Q164" i="5"/>
  <c r="P164" i="5"/>
  <c r="F164" i="5"/>
  <c r="E164" i="5"/>
  <c r="AI169" i="5"/>
  <c r="AI156" i="5" s="1"/>
  <c r="AI155" i="5" s="1"/>
  <c r="AH169" i="5"/>
  <c r="AE169" i="5" s="1"/>
  <c r="AB169" i="5"/>
  <c r="AA169" i="5"/>
  <c r="Z169" i="5"/>
  <c r="Z156" i="5" s="1"/>
  <c r="Z155" i="5" s="1"/>
  <c r="Q169" i="5"/>
  <c r="P169" i="5"/>
  <c r="O169" i="5"/>
  <c r="O156" i="5" s="1"/>
  <c r="O155" i="5" s="1"/>
  <c r="L169" i="5"/>
  <c r="L156" i="5" s="1"/>
  <c r="L155" i="5" s="1"/>
  <c r="F169" i="5"/>
  <c r="E169" i="5"/>
  <c r="D169" i="5"/>
  <c r="P156" i="5" l="1"/>
  <c r="P155" i="5" s="1"/>
  <c r="AB156" i="5"/>
  <c r="AB155" i="5" s="1"/>
  <c r="AH156" i="5"/>
  <c r="AH155" i="5" s="1"/>
  <c r="Q156" i="5"/>
  <c r="Q155" i="5" s="1"/>
  <c r="AA156" i="5"/>
  <c r="AA155" i="5" s="1"/>
  <c r="I169" i="5"/>
  <c r="I156" i="5" s="1"/>
  <c r="I155" i="5" s="1"/>
  <c r="N164" i="5"/>
  <c r="AE164" i="5"/>
  <c r="AE156" i="5" s="1"/>
  <c r="AE155" i="5" s="1"/>
  <c r="Y164" i="5"/>
  <c r="C169" i="5"/>
  <c r="N122" i="5"/>
  <c r="N116" i="5" s="1"/>
  <c r="Y169" i="5"/>
  <c r="N169" i="5"/>
  <c r="C164" i="5"/>
  <c r="AI41" i="5"/>
  <c r="AE41" i="5" s="1"/>
  <c r="AI40" i="5"/>
  <c r="AF40" i="5"/>
  <c r="R40" i="5"/>
  <c r="N40" i="5" s="1"/>
  <c r="M40" i="5"/>
  <c r="I40" i="5" s="1"/>
  <c r="AF39" i="5"/>
  <c r="AE39" i="5" s="1"/>
  <c r="R39" i="5"/>
  <c r="N39" i="5" s="1"/>
  <c r="N156" i="5" l="1"/>
  <c r="N155" i="5" s="1"/>
  <c r="Y156" i="5"/>
  <c r="Y155" i="5" s="1"/>
  <c r="AE40" i="5"/>
  <c r="D105" i="5"/>
  <c r="E103" i="5"/>
  <c r="F103" i="5"/>
  <c r="G103" i="5"/>
  <c r="L103" i="5"/>
  <c r="O103" i="5"/>
  <c r="P103" i="5"/>
  <c r="Q103" i="5"/>
  <c r="R103" i="5"/>
  <c r="W103" i="5"/>
  <c r="Z103" i="5"/>
  <c r="AA103" i="5"/>
  <c r="AB103" i="5"/>
  <c r="AC103" i="5"/>
  <c r="AF103" i="5"/>
  <c r="AG103" i="5"/>
  <c r="AH103" i="5"/>
  <c r="AI103" i="5"/>
  <c r="D103" i="5"/>
  <c r="H104" i="5"/>
  <c r="H103" i="5" s="1"/>
  <c r="J104" i="5"/>
  <c r="K104" i="5"/>
  <c r="K103" i="5" s="1"/>
  <c r="M104" i="5"/>
  <c r="M103" i="5" s="1"/>
  <c r="S104" i="5"/>
  <c r="S103" i="5" s="1"/>
  <c r="U104" i="5"/>
  <c r="V104" i="5"/>
  <c r="V103" i="5" s="1"/>
  <c r="X104" i="5"/>
  <c r="X103" i="5" s="1"/>
  <c r="AD104" i="5"/>
  <c r="AD103" i="5" s="1"/>
  <c r="E105" i="5"/>
  <c r="F105" i="5"/>
  <c r="G105" i="5"/>
  <c r="H105" i="5"/>
  <c r="J105" i="5"/>
  <c r="K105" i="5"/>
  <c r="L105" i="5"/>
  <c r="M105" i="5"/>
  <c r="O105" i="5"/>
  <c r="P105" i="5"/>
  <c r="Q105" i="5"/>
  <c r="R105" i="5"/>
  <c r="S105" i="5"/>
  <c r="U105" i="5"/>
  <c r="V105" i="5"/>
  <c r="W105" i="5"/>
  <c r="X105" i="5"/>
  <c r="Z105" i="5"/>
  <c r="AA105" i="5"/>
  <c r="AB105" i="5"/>
  <c r="AC105" i="5"/>
  <c r="AD105" i="5"/>
  <c r="AG105" i="5"/>
  <c r="AH105" i="5"/>
  <c r="AI105" i="5"/>
  <c r="AF107" i="5"/>
  <c r="AE107" i="5" s="1"/>
  <c r="C103" i="5" l="1"/>
  <c r="AE103" i="5"/>
  <c r="Y103" i="5"/>
  <c r="Y105" i="5"/>
  <c r="N103" i="5"/>
  <c r="N105" i="5"/>
  <c r="I105" i="5"/>
  <c r="U103" i="5"/>
  <c r="T103" i="5" s="1"/>
  <c r="T104" i="5"/>
  <c r="J103" i="5"/>
  <c r="I103" i="5" s="1"/>
  <c r="I104" i="5"/>
  <c r="C105" i="5"/>
  <c r="T105" i="5"/>
  <c r="AF105" i="5"/>
  <c r="AE105" i="5" s="1"/>
  <c r="AG92" i="5" l="1"/>
  <c r="AH92" i="5"/>
  <c r="AI92" i="5"/>
  <c r="AF92" i="5"/>
  <c r="AG149" i="5"/>
  <c r="AH149" i="5"/>
  <c r="AI149" i="5"/>
  <c r="AF149" i="5"/>
  <c r="AG68" i="5"/>
  <c r="AG67" i="5" s="1"/>
  <c r="AH68" i="5"/>
  <c r="AH67" i="5" s="1"/>
  <c r="AI68" i="5"/>
  <c r="AI67" i="5" s="1"/>
  <c r="AF68" i="5"/>
  <c r="AF67" i="5" s="1"/>
  <c r="AG48" i="5"/>
  <c r="AG47" i="5" s="1"/>
  <c r="AH48" i="5"/>
  <c r="AH47" i="5" s="1"/>
  <c r="AI48" i="5"/>
  <c r="AI47" i="5" s="1"/>
  <c r="AF48" i="5"/>
  <c r="AE68" i="5" l="1"/>
  <c r="AE67" i="5" s="1"/>
  <c r="AE149" i="5"/>
  <c r="AE92" i="5"/>
  <c r="AF47" i="5"/>
  <c r="AE47" i="5" s="1"/>
  <c r="AE48" i="5"/>
  <c r="V149" i="5"/>
  <c r="W149" i="5"/>
  <c r="U149" i="5"/>
  <c r="V110" i="5"/>
  <c r="W110" i="5"/>
  <c r="X110" i="5"/>
  <c r="V92" i="5"/>
  <c r="W92" i="5"/>
  <c r="U92" i="5"/>
  <c r="V68" i="5"/>
  <c r="V67" i="5" s="1"/>
  <c r="W68" i="5"/>
  <c r="W67" i="5" s="1"/>
  <c r="X68" i="5"/>
  <c r="X67" i="5" s="1"/>
  <c r="U68" i="5"/>
  <c r="U67" i="5" s="1"/>
  <c r="U48" i="5"/>
  <c r="V48" i="5"/>
  <c r="V47" i="5" s="1"/>
  <c r="W48" i="5"/>
  <c r="W47" i="5" s="1"/>
  <c r="X48" i="5"/>
  <c r="X47" i="5" s="1"/>
  <c r="V38" i="5"/>
  <c r="V42" i="5"/>
  <c r="W42" i="5"/>
  <c r="X42" i="5"/>
  <c r="U42" i="5"/>
  <c r="W38" i="5"/>
  <c r="U38" i="5"/>
  <c r="U25" i="5"/>
  <c r="V25" i="5"/>
  <c r="V22" i="5" s="1"/>
  <c r="W25" i="5"/>
  <c r="W22" i="5" s="1"/>
  <c r="J149" i="5"/>
  <c r="I149" i="5" s="1"/>
  <c r="K110" i="5"/>
  <c r="L110" i="5"/>
  <c r="M110" i="5"/>
  <c r="O110" i="5"/>
  <c r="P110" i="5"/>
  <c r="Q110" i="5"/>
  <c r="R110" i="5"/>
  <c r="S110" i="5"/>
  <c r="Z110" i="5"/>
  <c r="AA110" i="5"/>
  <c r="AB110" i="5"/>
  <c r="AC110" i="5"/>
  <c r="AD110" i="5"/>
  <c r="AE110" i="5"/>
  <c r="J110" i="5"/>
  <c r="K92" i="5"/>
  <c r="L92" i="5"/>
  <c r="J92" i="5"/>
  <c r="K25" i="5"/>
  <c r="L25" i="5"/>
  <c r="L22" i="5" s="1"/>
  <c r="M25" i="5"/>
  <c r="J25" i="5"/>
  <c r="O22" i="5"/>
  <c r="P22" i="5"/>
  <c r="Q22" i="5"/>
  <c r="R22" i="5"/>
  <c r="S22" i="5"/>
  <c r="Z22" i="5"/>
  <c r="AA22" i="5"/>
  <c r="AB22" i="5"/>
  <c r="AC22" i="5"/>
  <c r="AD22" i="5"/>
  <c r="AF25" i="5"/>
  <c r="AG25" i="5"/>
  <c r="AG22" i="5" s="1"/>
  <c r="AH25" i="5"/>
  <c r="AH22" i="5" s="1"/>
  <c r="J38" i="5"/>
  <c r="J42" i="5"/>
  <c r="K38" i="5"/>
  <c r="L38" i="5"/>
  <c r="M38" i="5"/>
  <c r="O38" i="5"/>
  <c r="P38" i="5"/>
  <c r="Q38" i="5"/>
  <c r="R38" i="5"/>
  <c r="S38" i="5"/>
  <c r="Z38" i="5"/>
  <c r="AA38" i="5"/>
  <c r="AB38" i="5"/>
  <c r="AC38" i="5"/>
  <c r="AD38" i="5"/>
  <c r="AG38" i="5"/>
  <c r="AH38" i="5"/>
  <c r="K42" i="5"/>
  <c r="L42" i="5"/>
  <c r="M42" i="5"/>
  <c r="Z42" i="5"/>
  <c r="AA42" i="5"/>
  <c r="AB42" i="5"/>
  <c r="AC42" i="5"/>
  <c r="AD42" i="5"/>
  <c r="AH42" i="5"/>
  <c r="AI42" i="5"/>
  <c r="M136" i="5"/>
  <c r="M116" i="5" s="1"/>
  <c r="K136" i="5"/>
  <c r="K116" i="5" s="1"/>
  <c r="J136" i="5"/>
  <c r="J116" i="5" s="1"/>
  <c r="M100" i="5"/>
  <c r="I100" i="5" s="1"/>
  <c r="Y42" i="5" l="1"/>
  <c r="Y22" i="5"/>
  <c r="I25" i="5"/>
  <c r="I110" i="5"/>
  <c r="Y110" i="5"/>
  <c r="I38" i="5"/>
  <c r="N110" i="5"/>
  <c r="Y38" i="5"/>
  <c r="U22" i="5"/>
  <c r="T68" i="5"/>
  <c r="T67" i="5" s="1"/>
  <c r="N22" i="5"/>
  <c r="I136" i="5"/>
  <c r="I116" i="5" s="1"/>
  <c r="N38" i="5"/>
  <c r="I42" i="5"/>
  <c r="T42" i="5"/>
  <c r="U47" i="5"/>
  <c r="T47" i="5" s="1"/>
  <c r="T48" i="5"/>
  <c r="AA37" i="5"/>
  <c r="M92" i="5"/>
  <c r="I92" i="5" s="1"/>
  <c r="W37" i="5"/>
  <c r="Q37" i="5"/>
  <c r="L37" i="5"/>
  <c r="I37" i="5" s="1"/>
  <c r="S37" i="5"/>
  <c r="O37" i="5"/>
  <c r="AD37" i="5"/>
  <c r="Z37" i="5"/>
  <c r="P37" i="5"/>
  <c r="AC37" i="5"/>
  <c r="AB37" i="5"/>
  <c r="V37" i="5"/>
  <c r="AF22" i="5"/>
  <c r="AH37" i="5"/>
  <c r="U37" i="5"/>
  <c r="R37" i="5"/>
  <c r="M36" i="5"/>
  <c r="M22" i="5" s="1"/>
  <c r="K36" i="5"/>
  <c r="K22" i="5" s="1"/>
  <c r="J36" i="5"/>
  <c r="Y37" i="5" l="1"/>
  <c r="J22" i="5"/>
  <c r="I36" i="5"/>
  <c r="N37" i="5"/>
  <c r="M91" i="5"/>
  <c r="X151" i="5"/>
  <c r="T151" i="5" s="1"/>
  <c r="X136" i="5"/>
  <c r="X116" i="5" s="1"/>
  <c r="V136" i="5"/>
  <c r="U136" i="5"/>
  <c r="I22" i="5" l="1"/>
  <c r="T136" i="5"/>
  <c r="U116" i="5"/>
  <c r="I91" i="5"/>
  <c r="I81" i="5" s="1"/>
  <c r="I80" i="5" s="1"/>
  <c r="M81" i="5"/>
  <c r="M80" i="5" s="1"/>
  <c r="X149" i="5"/>
  <c r="T149" i="5" s="1"/>
  <c r="X38" i="5"/>
  <c r="T38" i="5" s="1"/>
  <c r="X25" i="5"/>
  <c r="T25" i="5" s="1"/>
  <c r="X100" i="5"/>
  <c r="T100" i="5" s="1"/>
  <c r="X22" i="5" l="1"/>
  <c r="AI38" i="5"/>
  <c r="AI37" i="5" s="1"/>
  <c r="X92" i="5"/>
  <c r="AI25" i="5"/>
  <c r="AE25" i="5" s="1"/>
  <c r="X37" i="5"/>
  <c r="T37" i="5" s="1"/>
  <c r="AF42" i="5"/>
  <c r="AF119" i="5"/>
  <c r="T22" i="5" l="1"/>
  <c r="T92" i="5"/>
  <c r="AE119" i="5"/>
  <c r="AE116" i="5" s="1"/>
  <c r="AF116" i="5"/>
  <c r="AI22" i="5"/>
  <c r="AE22" i="5" l="1"/>
  <c r="AF38" i="5"/>
  <c r="AE38" i="5" s="1"/>
  <c r="AG42" i="5"/>
  <c r="AE42" i="5" s="1"/>
  <c r="H171" i="5"/>
  <c r="H156" i="5" s="1"/>
  <c r="H155" i="5" s="1"/>
  <c r="G171" i="5"/>
  <c r="G156" i="5" s="1"/>
  <c r="G155" i="5" s="1"/>
  <c r="F171" i="5"/>
  <c r="F156" i="5" s="1"/>
  <c r="F155" i="5" s="1"/>
  <c r="E171" i="5"/>
  <c r="E156" i="5" s="1"/>
  <c r="E155" i="5" s="1"/>
  <c r="D171" i="5"/>
  <c r="D156" i="5" s="1"/>
  <c r="D155" i="5" s="1"/>
  <c r="AI115" i="5"/>
  <c r="AI79" i="5" s="1"/>
  <c r="AI12" i="5" s="1"/>
  <c r="AH115" i="5"/>
  <c r="AH79" i="5" s="1"/>
  <c r="AG115" i="5"/>
  <c r="AG79" i="5" s="1"/>
  <c r="AF115" i="5"/>
  <c r="AF79" i="5" s="1"/>
  <c r="AD115" i="5"/>
  <c r="AC115" i="5"/>
  <c r="AB115" i="5"/>
  <c r="AA115" i="5"/>
  <c r="Z115" i="5"/>
  <c r="W115" i="5"/>
  <c r="S115" i="5"/>
  <c r="Q115" i="5"/>
  <c r="P115" i="5"/>
  <c r="O115" i="5"/>
  <c r="M115" i="5"/>
  <c r="L115" i="5"/>
  <c r="K115" i="5"/>
  <c r="J115" i="5"/>
  <c r="H115" i="5"/>
  <c r="G115" i="5"/>
  <c r="F115" i="5"/>
  <c r="E115" i="5"/>
  <c r="D115" i="5"/>
  <c r="AD101" i="5"/>
  <c r="AC101" i="5"/>
  <c r="AB101" i="5"/>
  <c r="AA101" i="5"/>
  <c r="Z101" i="5"/>
  <c r="X101" i="5"/>
  <c r="X79" i="5" s="1"/>
  <c r="W101" i="5"/>
  <c r="V101" i="5"/>
  <c r="U101" i="5"/>
  <c r="S101" i="5"/>
  <c r="R101" i="5"/>
  <c r="Q101" i="5"/>
  <c r="P101" i="5"/>
  <c r="O101" i="5"/>
  <c r="M101" i="5"/>
  <c r="L101" i="5"/>
  <c r="K101" i="5"/>
  <c r="J101" i="5"/>
  <c r="H101" i="5"/>
  <c r="G101" i="5"/>
  <c r="F101" i="5"/>
  <c r="E101" i="5"/>
  <c r="D101" i="5"/>
  <c r="AD92" i="5"/>
  <c r="AC92" i="5"/>
  <c r="AB92" i="5"/>
  <c r="AA92" i="5"/>
  <c r="Z92" i="5"/>
  <c r="S92" i="5"/>
  <c r="R92" i="5"/>
  <c r="Q92" i="5"/>
  <c r="P92" i="5"/>
  <c r="O92" i="5"/>
  <c r="H92" i="5"/>
  <c r="G92" i="5"/>
  <c r="F92" i="5"/>
  <c r="E92" i="5"/>
  <c r="D92" i="5"/>
  <c r="AD48" i="5"/>
  <c r="AC48" i="5"/>
  <c r="AB48" i="5"/>
  <c r="AA48" i="5"/>
  <c r="Z48" i="5"/>
  <c r="S48" i="5"/>
  <c r="R48" i="5"/>
  <c r="Q48" i="5"/>
  <c r="P48" i="5"/>
  <c r="O48" i="5"/>
  <c r="H48" i="5"/>
  <c r="G48" i="5"/>
  <c r="F48" i="5"/>
  <c r="E48" i="5"/>
  <c r="D48" i="5"/>
  <c r="H42" i="5"/>
  <c r="G42" i="5"/>
  <c r="E42" i="5"/>
  <c r="D42" i="5"/>
  <c r="H38" i="5"/>
  <c r="G38" i="5"/>
  <c r="F38" i="5"/>
  <c r="E38" i="5"/>
  <c r="D38" i="5"/>
  <c r="H22" i="5"/>
  <c r="G22" i="5"/>
  <c r="F22" i="5"/>
  <c r="E22" i="5"/>
  <c r="X12" i="5" l="1"/>
  <c r="X11" i="5" s="1"/>
  <c r="AH12" i="5"/>
  <c r="AH11" i="5" s="1"/>
  <c r="AI11" i="5"/>
  <c r="C22" i="5"/>
  <c r="O79" i="5"/>
  <c r="H79" i="5"/>
  <c r="AB79" i="5"/>
  <c r="J79" i="5"/>
  <c r="P79" i="5"/>
  <c r="Q79" i="5"/>
  <c r="M79" i="5"/>
  <c r="W79" i="5"/>
  <c r="AD79" i="5"/>
  <c r="S79" i="5"/>
  <c r="AC79" i="5"/>
  <c r="F79" i="5"/>
  <c r="E79" i="5"/>
  <c r="G79" i="5"/>
  <c r="K79" i="5"/>
  <c r="L79" i="5"/>
  <c r="D79" i="5"/>
  <c r="Z79" i="5"/>
  <c r="AA79" i="5"/>
  <c r="AC47" i="5"/>
  <c r="C42" i="5"/>
  <c r="C48" i="5"/>
  <c r="N92" i="5"/>
  <c r="T101" i="5"/>
  <c r="Y101" i="5"/>
  <c r="Q47" i="5"/>
  <c r="T115" i="5"/>
  <c r="Y115" i="5"/>
  <c r="Y92" i="5"/>
  <c r="C115" i="5"/>
  <c r="AE115" i="5"/>
  <c r="AE79" i="5" s="1"/>
  <c r="C38" i="5"/>
  <c r="C92" i="5"/>
  <c r="I101" i="5"/>
  <c r="N101" i="5"/>
  <c r="C171" i="5"/>
  <c r="C156" i="5" s="1"/>
  <c r="C155" i="5" s="1"/>
  <c r="N48" i="5"/>
  <c r="Y48" i="5"/>
  <c r="C101" i="5"/>
  <c r="I115" i="5"/>
  <c r="AF37" i="5"/>
  <c r="AG37" i="5"/>
  <c r="AA47" i="5"/>
  <c r="D37" i="5"/>
  <c r="H37" i="5"/>
  <c r="G47" i="5"/>
  <c r="E47" i="5"/>
  <c r="O47" i="5"/>
  <c r="S47" i="5"/>
  <c r="F47" i="5"/>
  <c r="E37" i="5"/>
  <c r="H47" i="5"/>
  <c r="AD47" i="5"/>
  <c r="F37" i="5"/>
  <c r="G37" i="5"/>
  <c r="G12" i="5" s="1"/>
  <c r="AB47" i="5"/>
  <c r="AB12" i="5" s="1"/>
  <c r="P47" i="5"/>
  <c r="O12" i="5" l="1"/>
  <c r="H12" i="5"/>
  <c r="F12" i="5"/>
  <c r="E12" i="5"/>
  <c r="H11" i="5"/>
  <c r="AC12" i="5"/>
  <c r="AC11" i="5" s="1"/>
  <c r="AD12" i="5"/>
  <c r="AD11" i="5" s="1"/>
  <c r="J12" i="5"/>
  <c r="J11" i="5" s="1"/>
  <c r="AA12" i="5"/>
  <c r="AA11" i="5" s="1"/>
  <c r="AG12" i="5"/>
  <c r="AG11" i="5" s="1"/>
  <c r="S12" i="5"/>
  <c r="S11" i="5" s="1"/>
  <c r="AF12" i="5"/>
  <c r="AF11" i="5" s="1"/>
  <c r="L12" i="5"/>
  <c r="L11" i="5" s="1"/>
  <c r="W12" i="5"/>
  <c r="W11" i="5" s="1"/>
  <c r="Q12" i="5"/>
  <c r="Q11" i="5" s="1"/>
  <c r="P12" i="5"/>
  <c r="P11" i="5" s="1"/>
  <c r="G11" i="5"/>
  <c r="K12" i="5"/>
  <c r="K11" i="5" s="1"/>
  <c r="M12" i="5"/>
  <c r="M11" i="5" s="1"/>
  <c r="F11" i="5"/>
  <c r="E11" i="5"/>
  <c r="AB11" i="5"/>
  <c r="O11" i="5"/>
  <c r="C79" i="5"/>
  <c r="Y79" i="5"/>
  <c r="I79" i="5"/>
  <c r="Z47" i="5"/>
  <c r="Z12" i="5" s="1"/>
  <c r="C67" i="5"/>
  <c r="C37" i="5"/>
  <c r="AE37" i="5"/>
  <c r="I12" i="5" l="1"/>
  <c r="I11" i="5" s="1"/>
  <c r="AE12" i="5"/>
  <c r="AE11" i="5" s="1"/>
  <c r="Y47" i="5"/>
  <c r="Z11" i="5"/>
  <c r="D47" i="5"/>
  <c r="D12" i="5" s="1"/>
  <c r="Y12" i="5" l="1"/>
  <c r="Y11" i="5" s="1"/>
  <c r="C47" i="5"/>
  <c r="D11" i="5"/>
  <c r="R124" i="5"/>
  <c r="R116" i="5" s="1"/>
  <c r="R115" i="5" s="1"/>
  <c r="R79" i="5" s="1"/>
  <c r="C12" i="5" l="1"/>
  <c r="C11" i="5" s="1"/>
  <c r="R47" i="5"/>
  <c r="N115" i="5"/>
  <c r="N79" i="5" s="1"/>
  <c r="R12" i="5" l="1"/>
  <c r="R11" i="5" s="1"/>
  <c r="N47" i="5"/>
  <c r="N12" i="5" l="1"/>
  <c r="N11" i="5" s="1"/>
  <c r="T110" i="5" l="1"/>
  <c r="T79" i="5"/>
  <c r="T12" i="5"/>
  <c r="T11" i="5"/>
  <c r="T116" i="5"/>
  <c r="T111" i="5"/>
  <c r="T130" i="5"/>
  <c r="V130" i="5"/>
  <c r="V116" i="5"/>
  <c r="V79" i="5"/>
  <c r="V12" i="5"/>
  <c r="V11" i="5"/>
  <c r="U111" i="5"/>
  <c r="U110" i="5"/>
  <c r="U79" i="5"/>
  <c r="U12" i="5"/>
  <c r="U11" i="5"/>
</calcChain>
</file>

<file path=xl/sharedStrings.xml><?xml version="1.0" encoding="utf-8"?>
<sst xmlns="http://schemas.openxmlformats.org/spreadsheetml/2006/main" count="362" uniqueCount="253">
  <si>
    <t>TT</t>
  </si>
  <si>
    <t>Đơn vị, lĩnh vực</t>
  </si>
  <si>
    <t>Năm 2015</t>
  </si>
  <si>
    <t>Năm 2017</t>
  </si>
  <si>
    <t>Năm 2021</t>
  </si>
  <si>
    <t>Ghi chú</t>
  </si>
  <si>
    <t>Chia ra</t>
  </si>
  <si>
    <t>A</t>
  </si>
  <si>
    <t>B</t>
  </si>
  <si>
    <t>C</t>
  </si>
  <si>
    <t>Tổng cộng</t>
  </si>
  <si>
    <t>I</t>
  </si>
  <si>
    <t>Khác</t>
  </si>
  <si>
    <t>II</t>
  </si>
  <si>
    <t>IV</t>
  </si>
  <si>
    <t>Sự nghiệp Y tế</t>
  </si>
  <si>
    <t>V</t>
  </si>
  <si>
    <t>Sự nghiệp Văn hoá, thể thao, du lịch</t>
  </si>
  <si>
    <t>VI</t>
  </si>
  <si>
    <t>VII</t>
  </si>
  <si>
    <t>...</t>
  </si>
  <si>
    <t>Tổng giá trị tài sản</t>
  </si>
  <si>
    <t>NSNN cấp</t>
  </si>
  <si>
    <t>Trong đó</t>
  </si>
  <si>
    <t>Nhà cửa, vật kiến trúc</t>
  </si>
  <si>
    <t>Quyền sử dụng đất</t>
  </si>
  <si>
    <t>Ô tô</t>
  </si>
  <si>
    <t>Tài sản khác</t>
  </si>
  <si>
    <t>Chi tiền lương</t>
  </si>
  <si>
    <t>Chi đầu tư</t>
  </si>
  <si>
    <t>Chi khác</t>
  </si>
  <si>
    <t>III</t>
  </si>
  <si>
    <t>Lĩnh vực giáo dục - đào tạo</t>
  </si>
  <si>
    <t>Lĩnh vực giáo dục nghề nghiệp</t>
  </si>
  <si>
    <t>Cơ sở GD Đại học</t>
  </si>
  <si>
    <t>Các trung tâm giáo dục thường xuyên</t>
  </si>
  <si>
    <t>Trường Trung học cơ sở</t>
  </si>
  <si>
    <t>Trường Tiểu học</t>
  </si>
  <si>
    <t>Trường Mầm non</t>
  </si>
  <si>
    <t>Sơ cấp nghề</t>
  </si>
  <si>
    <t>Cơ sở Trung cấp nghề</t>
  </si>
  <si>
    <t>Cơ sở cao đẳng nghề</t>
  </si>
  <si>
    <t>Các Trung tâm hướng nghiệp</t>
  </si>
  <si>
    <t xml:space="preserve"> Cơ sở ĐT lý luận chính trị và CS ĐT về quản lý hành chính </t>
  </si>
  <si>
    <t>Các cơ cở GD nghề nghiệp khác</t>
  </si>
  <si>
    <t>Tuyến tỉnh</t>
  </si>
  <si>
    <t>1.1</t>
  </si>
  <si>
    <t>Bệnh viện</t>
  </si>
  <si>
    <t>1.2</t>
  </si>
  <si>
    <t>Các Trung tâm, ĐVSN khác trực thuộc</t>
  </si>
  <si>
    <t>Tuyến huyện</t>
  </si>
  <si>
    <t>2.1</t>
  </si>
  <si>
    <t>2.2</t>
  </si>
  <si>
    <t>Y tế xã, phường, thị trấn</t>
  </si>
  <si>
    <t>Các Trung tâm Dân số KHHGĐ</t>
  </si>
  <si>
    <t>Cấp tỉnh</t>
  </si>
  <si>
    <t>Cấp huyện</t>
  </si>
  <si>
    <t>Sự nghiệp thuộc Văn phòng Tỉnh ủy/Tỉnh ủy</t>
  </si>
  <si>
    <t>1.10</t>
  </si>
  <si>
    <t>2.5</t>
  </si>
  <si>
    <t>Văn phòng ĐKQSDĐ</t>
  </si>
  <si>
    <t>2.6</t>
  </si>
  <si>
    <t>Các đơn vị SN khác thuộc cấp huyện</t>
  </si>
  <si>
    <t>Hội nghề nghiệp</t>
  </si>
  <si>
    <t>1.3</t>
  </si>
  <si>
    <t>1.4</t>
  </si>
  <si>
    <t>1.5</t>
  </si>
  <si>
    <t>1.6</t>
  </si>
  <si>
    <t>Hội Luật gia</t>
  </si>
  <si>
    <t>1.7</t>
  </si>
  <si>
    <t>1.8</t>
  </si>
  <si>
    <t>1.9</t>
  </si>
  <si>
    <t>1.11</t>
  </si>
  <si>
    <t>1.12</t>
  </si>
  <si>
    <t>Các hội khác</t>
  </si>
  <si>
    <t>Hội Chữ thập đỏ</t>
  </si>
  <si>
    <t>Hội Đông Y</t>
  </si>
  <si>
    <t>Thu nhập bình quân đầu người 1 viên chức, NLĐ</t>
  </si>
  <si>
    <t>Chi TX khác</t>
  </si>
  <si>
    <t>Sự nghiệp Khoa học và công nghệ</t>
  </si>
  <si>
    <t>Sự nghiệp Thông tin và truyền thông</t>
  </si>
  <si>
    <t>VIII</t>
  </si>
  <si>
    <t>Các đơn vị sự nghiệp kinh tế và sự nghiệp khác</t>
  </si>
  <si>
    <t>Lĩnh vực nông nghiệp</t>
  </si>
  <si>
    <t>Lĩnh vực tài nguyên và môi trường</t>
  </si>
  <si>
    <t>Lĩnh vực xây dựng</t>
  </si>
  <si>
    <t>Lĩnh vực công thương</t>
  </si>
  <si>
    <t>Lĩnh vực tư pháp</t>
  </si>
  <si>
    <t>Lĩnh vực giao thông vận tải</t>
  </si>
  <si>
    <t>Lĩnh vực lao động - thương binh và xã hội</t>
  </si>
  <si>
    <t>Lĩnh vực khác</t>
  </si>
  <si>
    <t>IX</t>
  </si>
  <si>
    <t>Sự nghiệp thuộc tỉnh đoàn</t>
  </si>
  <si>
    <t>X</t>
  </si>
  <si>
    <t xml:space="preserve"> </t>
  </si>
  <si>
    <t>Ghi 
chú</t>
  </si>
  <si>
    <t>Ô 
tô</t>
  </si>
  <si>
    <t xml:space="preserve">Trường Trung học cơ sở, phổ thông </t>
  </si>
  <si>
    <t>Sở Văn hóa, thể thao, du lịch</t>
  </si>
  <si>
    <t>Trung tâm văn hóa nghệ thuật</t>
  </si>
  <si>
    <t>Thư viện</t>
  </si>
  <si>
    <t>Bảo tàng</t>
  </si>
  <si>
    <t>Chi sự nghiệp khác ngành</t>
  </si>
  <si>
    <t>Cải cách tiền lương từ 1.21 tr đến1.49 tr đồng</t>
  </si>
  <si>
    <t xml:space="preserve">Sở Khoa học và Công nghệ </t>
  </si>
  <si>
    <t>Trung tâm ứng dụng khoa học và công nghệ</t>
  </si>
  <si>
    <t xml:space="preserve">Các Chương trình, đề tài, dự án, nhiệm vụ khoa học và công nghệ: </t>
  </si>
  <si>
    <r>
      <t xml:space="preserve">Liên hiệp các Hội khoa học kỹ thuật </t>
    </r>
    <r>
      <rPr>
        <i/>
        <sz val="9"/>
        <rFont val="Times New Roman"/>
        <family val="1"/>
      </rPr>
      <t>(Kinh phí tổ chức giải thưởng khoa học công nghệ)</t>
    </r>
  </si>
  <si>
    <r>
      <t xml:space="preserve">Sở Xây dựng </t>
    </r>
    <r>
      <rPr>
        <i/>
        <sz val="9"/>
        <rFont val="Times New Roman"/>
        <family val="1"/>
      </rPr>
      <t>(Đề án hoàn thiện định mức và giá xây dựng theo Văn bản số 2121/KH-UBND của UBND tỉnh)</t>
    </r>
  </si>
  <si>
    <t xml:space="preserve">Sở Nông nghiệp và Phát triển nông thôn </t>
  </si>
  <si>
    <t>Chi cục Trồng trọt và Bảo vệ thực vật</t>
  </si>
  <si>
    <t>Chi cục Chăn nuôi thú y và thủy sản</t>
  </si>
  <si>
    <t>Chi cục Quản lý chất lượng nông lâm thủy sản</t>
  </si>
  <si>
    <t>Trung tâm Giống và vật tư nông nghiệp</t>
  </si>
  <si>
    <r>
      <t>Các chương trình, đề án</t>
    </r>
    <r>
      <rPr>
        <sz val="10"/>
        <color indexed="10"/>
        <rFont val="Times New Roman"/>
        <family val="1"/>
      </rPr>
      <t/>
    </r>
  </si>
  <si>
    <t>Vườn Quốc gia Bidoup - Núi Bà</t>
  </si>
  <si>
    <t xml:space="preserve">Sở Công Thương </t>
  </si>
  <si>
    <t xml:space="preserve">Sở Tài nguyên và Môi trường </t>
  </si>
  <si>
    <t>Chi cục Bảo vệ môi trường</t>
  </si>
  <si>
    <t>Trung tâm Quan trắc tài nguyên và môi trường</t>
  </si>
  <si>
    <t>Sở Xây dựng</t>
  </si>
  <si>
    <r>
      <t xml:space="preserve">Trung tâm Khuyến nông </t>
    </r>
    <r>
      <rPr>
        <i/>
        <sz val="9"/>
        <rFont val="Times New Roman"/>
        <family val="1"/>
      </rPr>
      <t>(có Trung tâm nước sạch và Vệ sinh môi trường nông thôn)</t>
    </r>
  </si>
  <si>
    <t>Kinh phí lập đề án chống ùn tắc giao thông</t>
  </si>
  <si>
    <t>Ban Quản lý rừng phòng hộ Tà Nung</t>
  </si>
  <si>
    <t>Ban Quản lý Trung tâm hành chính</t>
  </si>
  <si>
    <t>Trung tâm Lưu trữ lịch sử</t>
  </si>
  <si>
    <t>Phòng Công chứng số 5</t>
  </si>
  <si>
    <t>Phòng Công chứng số 4</t>
  </si>
  <si>
    <t xml:space="preserve">Trung tâm Trợ giúp pháp lý nhà nước </t>
  </si>
  <si>
    <t xml:space="preserve">Trung tâm Dịch vụ bán đấu giá tài sản </t>
  </si>
  <si>
    <t>Trung tâm Khuyến công và tư vấn Phát triển công nghiệp</t>
  </si>
  <si>
    <t>Trung tâm Phát triển quỹ đất</t>
  </si>
  <si>
    <t>Trung tâm Xúc tiến Đầu tư, Thương mại và Du lịch</t>
  </si>
  <si>
    <t>Ban Quản lý khu du lịch hồ Tuyền Lâm</t>
  </si>
  <si>
    <t>Công ty Phát triển hạ tầng khu công nghiệp Lộc Sơn - Phú Hội</t>
  </si>
  <si>
    <t>Ban quản lý dự án Đầu tư xây dựng khu văn hóa - thể thao tỉnh</t>
  </si>
  <si>
    <t>Văn phòng Điều phối xây dựng Nông thôn mới</t>
  </si>
  <si>
    <t xml:space="preserve">Trung tâm Công nghệ thông tin và truyền thông </t>
  </si>
  <si>
    <t>Trung tâm Quản lý cổng thông tin điện tử</t>
  </si>
  <si>
    <t>Sở Tài nguyên  và Môi trường</t>
  </si>
  <si>
    <t>a)</t>
  </si>
  <si>
    <r>
      <t xml:space="preserve">Kinh phí duy tu, sữa chữa đường bộ </t>
    </r>
    <r>
      <rPr>
        <i/>
        <sz val="9"/>
        <rFont val="Times New Roman"/>
        <family val="1"/>
      </rPr>
      <t>(bao gồm cả duy tu sửa chữa đường vòng khu du lịch hồ Tuyền Lâm)</t>
    </r>
  </si>
  <si>
    <t>b)</t>
  </si>
  <si>
    <t>c)</t>
  </si>
  <si>
    <t>d)</t>
  </si>
  <si>
    <t>e)</t>
  </si>
  <si>
    <t>f)</t>
  </si>
  <si>
    <t>i)</t>
  </si>
  <si>
    <t>Trung tâm Hoạt động thanh thiếu nhi</t>
  </si>
  <si>
    <t xml:space="preserve">Liên minh Hợp tác xã </t>
  </si>
  <si>
    <t>Hội Văn học nghệ thuật</t>
  </si>
  <si>
    <t>Liên hiệp các Hội Khoa học và Kỹ thuật</t>
  </si>
  <si>
    <t>Hội Nạn nhân chất độc da cam/diôxin</t>
  </si>
  <si>
    <t xml:space="preserve">Hội Người mù </t>
  </si>
  <si>
    <t>Hội Bảo trợ bệnh nhân nghèo, người tàn tật và trẻ mồ côi</t>
  </si>
  <si>
    <t xml:space="preserve">Hội Cựu thanh niên xung phong </t>
  </si>
  <si>
    <t>Hội Khuyến học</t>
  </si>
  <si>
    <t>Hội Kiến trúc sư</t>
  </si>
  <si>
    <t>Hội Đông y</t>
  </si>
  <si>
    <t>Kinh phí hoạt động của các tổ chức cơ sở đảng của các cơ quan cấp tỉnh</t>
  </si>
  <si>
    <t>1.13</t>
  </si>
  <si>
    <t>1.14</t>
  </si>
  <si>
    <t>1.15</t>
  </si>
  <si>
    <t>1.16</t>
  </si>
  <si>
    <t>1.17</t>
  </si>
  <si>
    <t>Sở Văn hóa, thể thao và Du lịch (Trung tâm huấn luyện và thi đấu thể dục thể thao)</t>
  </si>
  <si>
    <t>Trường Cao đẳng Sư phạm</t>
  </si>
  <si>
    <t>Sở y tế</t>
  </si>
  <si>
    <t>Trường cao đẳng kinh tế kỹ thuật</t>
  </si>
  <si>
    <t>Trường cao đẳng Nghề Đà Lạt</t>
  </si>
  <si>
    <t>Các Trung tâm dạy nghề</t>
  </si>
  <si>
    <t>Trung tâm nghiên cứu và ứng dụng KTNN</t>
  </si>
  <si>
    <t>Trung tâm nghiên cứu chuyển giao KTCCN và CAQ</t>
  </si>
  <si>
    <t>Trung tâm kỹ thuật tiêu chuẩn đo lường chất lượng</t>
  </si>
  <si>
    <t>Ban quản lý khu CNSH và NNUDCNC Đà lạt</t>
  </si>
  <si>
    <t>Sở Thông tin truyền thông</t>
  </si>
  <si>
    <t>Trung tâm quản lý cổng thông tin điện tử</t>
  </si>
  <si>
    <t>BQL Khu công nghệ thông tin tập trung</t>
  </si>
  <si>
    <t>Chi khác của SN KHCN</t>
  </si>
  <si>
    <t>Nhà thiếu nhi</t>
  </si>
  <si>
    <t>Đoàn ca múa nhạc</t>
  </si>
  <si>
    <t>Phòng công chứng sô 3</t>
  </si>
  <si>
    <t>Trung tâm thông tin</t>
  </si>
  <si>
    <t>Ban quản lý KTX SV</t>
  </si>
  <si>
    <t>Nhà khách Dân tộc</t>
  </si>
  <si>
    <t>Cơ sở giáo dục khác,  chi khác</t>
  </si>
  <si>
    <t>Sở Nông nghiệp và phát triển nông thôn</t>
  </si>
  <si>
    <t>Phòng Công chứng số 2</t>
  </si>
  <si>
    <t>Văn phòng Đăng ký DD</t>
  </si>
  <si>
    <t>Trung tâm đăng kiểm xe cơ giới</t>
  </si>
  <si>
    <t>Trung tâm Bảo trợ xã hội</t>
  </si>
  <si>
    <t>Trung tâm Dịch vụ việc làm</t>
  </si>
  <si>
    <t>Cơ sở cai nghiện ma túy tỉnh Lâm Đồng</t>
  </si>
  <si>
    <t>Trung tâm Điều dưỡng Người có công</t>
  </si>
  <si>
    <t xml:space="preserve">Trung tâm Dịch vụ đấu giá tài sản tỉnh Lâm Đồng </t>
  </si>
  <si>
    <t>g)</t>
  </si>
  <si>
    <t>h)</t>
  </si>
  <si>
    <t>Trường Cao đẳng Y tế</t>
  </si>
  <si>
    <t>Trung tâm phát hành phim và chiếu bóng</t>
  </si>
  <si>
    <t>Ban quản lý di tích Cát tiên</t>
  </si>
  <si>
    <t>năm 2015 Trung tâm LTTS chưa thành lập</t>
  </si>
  <si>
    <t>Nhà Khách UBND tỉnh Lâm Đồng</t>
  </si>
  <si>
    <t xml:space="preserve"> 1.4</t>
  </si>
  <si>
    <t>CẤP HUYỆN</t>
  </si>
  <si>
    <r>
      <t xml:space="preserve">PHỤ LỤC 9
VỀ TỔNG GIÁ TRỊ TÀI SẢN VÀ SỐ LIỆU NSNN CẤP CHO CÁC ĐƠN VỊ SỰ NGHIỆP CÔNG LẬP CỦA ĐỊA PHƯƠNG
</t>
    </r>
    <r>
      <rPr>
        <i/>
        <sz val="11"/>
        <rFont val="Times New Roman"/>
        <family val="1"/>
      </rPr>
      <t>(Ban hành kèm theo Công văn số ………../       ngày ……./   /2022 của tỉnh/thành phố…...)</t>
    </r>
  </si>
  <si>
    <t>NSNN cấp (Trđ)</t>
  </si>
  <si>
    <t>Nhà cửa, vật kiến trúc (tr.đồng)</t>
  </si>
  <si>
    <t>Quyền sử dụng đất (tr.đồng)</t>
  </si>
  <si>
    <t>Ô tô (tr.đồng)</t>
  </si>
  <si>
    <t>Tài sản khác(tr.đồng)</t>
  </si>
  <si>
    <t>Chi tiền lương (trđ)</t>
  </si>
  <si>
    <t>Chi TX khác (Trđ)</t>
  </si>
  <si>
    <t>Chi đầu tư (trđ)</t>
  </si>
  <si>
    <t>Chi khác (Trđ)</t>
  </si>
  <si>
    <t>Tài sản khác (tr.đồng)</t>
  </si>
  <si>
    <t>Ô tô(tr.đồng)</t>
  </si>
  <si>
    <t>Trung tâm bồi dưỡng chính trị</t>
  </si>
  <si>
    <t>Trường DTNT</t>
  </si>
  <si>
    <t>Trung tâm GDNN-GDTX</t>
  </si>
  <si>
    <t xml:space="preserve">Đài Truyền thanh - Truyền hình </t>
  </si>
  <si>
    <t>Sự nghiệp Thông tin và truyền thông, Văn hoá, thể thao, du lịch</t>
  </si>
  <si>
    <t>Trung tâm Văn hóa, Thông tin - Thể thao,du lịch</t>
  </si>
  <si>
    <t>Nhà Thiếu nhi</t>
  </si>
  <si>
    <t>Linh vực nông nghiệp</t>
  </si>
  <si>
    <t>Trung tâm Nông nghiệp</t>
  </si>
  <si>
    <t>Linhx vực khác</t>
  </si>
  <si>
    <t>Ban QLDA ĐTXD và CTCC</t>
  </si>
  <si>
    <t>Trung tâm phát triển quỹ đất</t>
  </si>
  <si>
    <t>Ban Quản lý Chợ</t>
  </si>
  <si>
    <t xml:space="preserve">BQL rừng </t>
  </si>
  <si>
    <t>Trung tâm QLĐT &amp; KTCT Thủy lợi</t>
  </si>
  <si>
    <t>Trung tâm Quản lý Nhà</t>
  </si>
  <si>
    <t>Ban Quản lý Dự án Đầu tư xây dựng Đà Lạt</t>
  </si>
  <si>
    <t>Ban Quản lý Dự án Quảng trường</t>
  </si>
  <si>
    <t>Đài Phát thanh - Truyền hình Lâm Đồng</t>
  </si>
  <si>
    <t>8,7trđ</t>
  </si>
  <si>
    <t>Ban QLDA  xây dựng công trình giao thông tỉnh Lâm Đồng</t>
  </si>
  <si>
    <t>PHỤ LỤC 9
VỀ TỔNG GIÁ TRỊ TÀI SẢN VÀ SỐ LIỆU NSNN CẤP CHO CÁC ĐƠN VỊ SỰ NGHIỆP CÔNG LẬP CỦA ĐỊA PHƯƠNG</t>
  </si>
  <si>
    <t>ĐVT: triệu đồng</t>
  </si>
  <si>
    <t>TỈNH ỦY LÂM ĐỒNG</t>
  </si>
  <si>
    <t>ĐẢNG CÔNG SẢN VIỆT NAM</t>
  </si>
  <si>
    <t>Trung tâm Công Báo - Tin học</t>
  </si>
  <si>
    <t>Hội Nhà Báo</t>
  </si>
  <si>
    <t>Trường chính trị tỉnh lâm Đồng</t>
  </si>
  <si>
    <t>Sở lao động thương binh xã hội</t>
  </si>
  <si>
    <t>Trung tâm  hỗ trợ nông dân</t>
  </si>
  <si>
    <t xml:space="preserve"> -   </t>
  </si>
  <si>
    <t>Báo Lâm Đồng</t>
  </si>
  <si>
    <t>-</t>
  </si>
  <si>
    <t>Nhà khách Tỉnh ủy</t>
  </si>
  <si>
    <t>XI</t>
  </si>
  <si>
    <t>(Kèm theo Báo cáo số 263-BC/TU ngày 22 tháng 7 năm 2022 của Ban Thường vụ Tỉnh ủy Lâm Đồng)</t>
  </si>
  <si>
    <t>Lâm Đồng, ngày 22 tháng 7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</si>
</sst>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_-* #,##0.0\ _₫_-;\-* #,##0.0\ _₫_-;_-* &quot;-&quot;??\ _₫_-;_-@_-"/>
    <numFmt numFmtId="167" formatCode="_-* #,##0.00\ _₫_-;\-* #,##0.00\ _₫_-;_-* &quot;-&quot;??\ _₫_-;_-@_-"/>
    <numFmt numFmtId="168" formatCode="_-* #,##0.000\ _₫_-;\-* #,##0.000\ _₫_-;_-* &quot;-&quot;??\ _₫_-;_-@_-"/>
    <numFmt numFmtId="169" formatCode="0.0"/>
    <numFmt numFmtId="170" formatCode="_(* #,##0.0_);_(* \(#,##0.0\);_(* &quot;-&quot;??_);_(@_)"/>
    <numFmt numFmtId="171" formatCode="_(* #,##0.000_);_(* \(#,##0.000\);_(* &quot;-&quot;??_);_(@_)"/>
    <numFmt numFmtId="172" formatCode="#,##0.0"/>
    <numFmt numFmtId="173" formatCode="#,##0.0_);\(#,##0.0\)"/>
    <numFmt numFmtId="174" formatCode="_-* #,##0\ _þ_-;\-* #,##0\ _þ_-;_-* &quot;-&quot;??\ _þ_-;_-@_-"/>
    <numFmt numFmtId="175" formatCode="#,##0.000"/>
    <numFmt numFmtId="176" formatCode="_(* #,##0.0_);_(* \(#,##0.0\);_(* &quot;-&quot;??.0_);_(@_)"/>
  </numFmts>
  <fonts count="31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b/>
      <sz val="9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</font>
    <font>
      <b/>
      <i/>
      <sz val="9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1"/>
      <name val="Times New Roman"/>
      <family val="1"/>
    </font>
    <font>
      <i/>
      <sz val="5"/>
      <name val="Times New Roman"/>
      <family val="1"/>
    </font>
    <font>
      <sz val="11"/>
      <color theme="1"/>
      <name val="Calibri"/>
      <family val="2"/>
      <scheme val="minor"/>
    </font>
    <font>
      <sz val="10"/>
      <color indexed="10"/>
      <name val="Times New Roman"/>
      <family val="1"/>
    </font>
    <font>
      <b/>
      <sz val="5"/>
      <name val="Times New Roman"/>
      <family val="1"/>
    </font>
    <font>
      <i/>
      <sz val="7"/>
      <name val="Times New Roman"/>
      <family val="1"/>
    </font>
    <font>
      <sz val="5"/>
      <name val="Times New Roman"/>
      <family val="1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  <font>
      <b/>
      <sz val="13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 Light"/>
      <family val="1"/>
      <charset val="163"/>
      <scheme val="major"/>
    </font>
    <font>
      <b/>
      <u/>
      <sz val="10"/>
      <color theme="1"/>
      <name val="Times New Roman"/>
      <family val="1"/>
    </font>
    <font>
      <sz val="11"/>
      <color theme="1"/>
      <name val="Calibri Light"/>
      <family val="1"/>
      <charset val="163"/>
      <scheme val="major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321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6" fillId="2" borderId="0" xfId="0" applyFont="1" applyFill="1"/>
    <xf numFmtId="0" fontId="1" fillId="2" borderId="0" xfId="0" applyFont="1" applyFill="1" applyBorder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Fill="1"/>
    <xf numFmtId="0" fontId="6" fillId="0" borderId="0" xfId="0" applyFont="1" applyFill="1"/>
    <xf numFmtId="0" fontId="9" fillId="0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1" fillId="0" borderId="0" xfId="0" applyFont="1"/>
    <xf numFmtId="0" fontId="7" fillId="0" borderId="0" xfId="0" applyFont="1" applyFill="1" applyBorder="1"/>
    <xf numFmtId="0" fontId="16" fillId="0" borderId="0" xfId="0" applyFont="1" applyFill="1" applyBorder="1"/>
    <xf numFmtId="0" fontId="16" fillId="0" borderId="0" xfId="0" applyFont="1" applyFill="1"/>
    <xf numFmtId="164" fontId="1" fillId="0" borderId="0" xfId="1" applyNumberFormat="1" applyFont="1" applyFill="1"/>
    <xf numFmtId="0" fontId="6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/>
    <xf numFmtId="3" fontId="7" fillId="0" borderId="0" xfId="0" applyNumberFormat="1" applyFont="1" applyFill="1" applyBorder="1"/>
    <xf numFmtId="3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0" fontId="6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3" fontId="8" fillId="0" borderId="0" xfId="0" applyNumberFormat="1" applyFont="1" applyFill="1" applyBorder="1" applyAlignment="1">
      <alignment horizontal="center" vertical="center"/>
    </xf>
    <xf numFmtId="3" fontId="8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164" fontId="4" fillId="0" borderId="9" xfId="1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 wrapText="1"/>
    </xf>
    <xf numFmtId="164" fontId="6" fillId="0" borderId="9" xfId="1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 wrapText="1"/>
    </xf>
    <xf numFmtId="3" fontId="7" fillId="0" borderId="9" xfId="0" applyNumberFormat="1" applyFont="1" applyFill="1" applyBorder="1" applyAlignment="1">
      <alignment horizontal="center" vertical="center"/>
    </xf>
    <xf numFmtId="164" fontId="7" fillId="0" borderId="9" xfId="1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3" fontId="7" fillId="0" borderId="9" xfId="0" applyNumberFormat="1" applyFont="1" applyFill="1" applyBorder="1" applyAlignment="1">
      <alignment horizontal="right" vertical="center"/>
    </xf>
    <xf numFmtId="0" fontId="4" fillId="0" borderId="9" xfId="0" quotePrefix="1" applyFont="1" applyFill="1" applyBorder="1" applyAlignment="1">
      <alignment horizontal="center" vertical="center" wrapText="1"/>
    </xf>
    <xf numFmtId="0" fontId="6" fillId="0" borderId="9" xfId="0" quotePrefix="1" applyFont="1" applyFill="1" applyBorder="1" applyAlignment="1">
      <alignment horizontal="center" vertical="center" wrapText="1"/>
    </xf>
    <xf numFmtId="3" fontId="7" fillId="0" borderId="9" xfId="1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3" fontId="10" fillId="0" borderId="9" xfId="0" applyNumberFormat="1" applyFont="1" applyFill="1" applyBorder="1" applyAlignment="1">
      <alignment horizontal="center" vertical="center"/>
    </xf>
    <xf numFmtId="3" fontId="9" fillId="0" borderId="9" xfId="0" quotePrefix="1" applyNumberFormat="1" applyFont="1" applyFill="1" applyBorder="1" applyAlignment="1">
      <alignment horizontal="center" vertical="center" wrapText="1"/>
    </xf>
    <xf numFmtId="3" fontId="9" fillId="0" borderId="9" xfId="0" applyNumberFormat="1" applyFont="1" applyFill="1" applyBorder="1" applyAlignment="1">
      <alignment horizontal="left" vertical="center" wrapText="1"/>
    </xf>
    <xf numFmtId="3" fontId="8" fillId="0" borderId="9" xfId="0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9" xfId="0" applyFont="1" applyFill="1" applyBorder="1"/>
    <xf numFmtId="0" fontId="8" fillId="0" borderId="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vertical="center"/>
    </xf>
    <xf numFmtId="165" fontId="9" fillId="0" borderId="9" xfId="1" applyNumberFormat="1" applyFont="1" applyFill="1" applyBorder="1"/>
    <xf numFmtId="3" fontId="9" fillId="0" borderId="9" xfId="0" applyNumberFormat="1" applyFont="1" applyFill="1" applyBorder="1" applyAlignment="1">
      <alignment horizontal="right" vertical="center" wrapText="1"/>
    </xf>
    <xf numFmtId="3" fontId="8" fillId="0" borderId="9" xfId="0" applyNumberFormat="1" applyFont="1" applyFill="1" applyBorder="1" applyAlignment="1">
      <alignment horizontal="right" vertical="center" wrapText="1"/>
    </xf>
    <xf numFmtId="3" fontId="8" fillId="0" borderId="9" xfId="1" applyNumberFormat="1" applyFont="1" applyFill="1" applyBorder="1" applyAlignment="1">
      <alignment horizontal="right" vertical="center" wrapText="1"/>
    </xf>
    <xf numFmtId="3" fontId="8" fillId="0" borderId="0" xfId="0" applyNumberFormat="1" applyFont="1" applyFill="1" applyBorder="1" applyAlignment="1">
      <alignment horizontal="right" vertical="center" wrapText="1"/>
    </xf>
    <xf numFmtId="3" fontId="8" fillId="0" borderId="0" xfId="0" applyNumberFormat="1" applyFont="1" applyFill="1" applyAlignment="1">
      <alignment horizontal="right" vertical="center" wrapText="1"/>
    </xf>
    <xf numFmtId="0" fontId="1" fillId="0" borderId="0" xfId="0" applyFont="1" applyFill="1" applyBorder="1"/>
    <xf numFmtId="0" fontId="0" fillId="0" borderId="0" xfId="0" applyFont="1"/>
    <xf numFmtId="0" fontId="1" fillId="0" borderId="0" xfId="0" applyFont="1" applyFill="1" applyBorder="1"/>
    <xf numFmtId="0" fontId="1" fillId="0" borderId="0" xfId="0" applyFont="1" applyFill="1" applyBorder="1"/>
    <xf numFmtId="0" fontId="4" fillId="2" borderId="9" xfId="0" applyFont="1" applyFill="1" applyBorder="1" applyAlignment="1">
      <alignment horizontal="center" vertical="center"/>
    </xf>
    <xf numFmtId="164" fontId="4" fillId="2" borderId="9" xfId="1" applyNumberFormat="1" applyFont="1" applyFill="1" applyBorder="1" applyAlignment="1">
      <alignment horizontal="center" vertical="center"/>
    </xf>
    <xf numFmtId="174" fontId="6" fillId="2" borderId="0" xfId="1" applyNumberFormat="1" applyFont="1" applyFill="1"/>
    <xf numFmtId="174" fontId="6" fillId="2" borderId="0" xfId="1" applyNumberFormat="1" applyFont="1" applyFill="1" applyAlignment="1">
      <alignment horizontal="center"/>
    </xf>
    <xf numFmtId="174" fontId="1" fillId="2" borderId="0" xfId="1" applyNumberFormat="1" applyFont="1" applyFill="1"/>
    <xf numFmtId="174" fontId="4" fillId="2" borderId="1" xfId="1" applyNumberFormat="1" applyFont="1" applyFill="1" applyBorder="1" applyAlignment="1">
      <alignment horizontal="center" vertical="center" wrapText="1"/>
    </xf>
    <xf numFmtId="174" fontId="4" fillId="2" borderId="7" xfId="1" applyNumberFormat="1" applyFont="1" applyFill="1" applyBorder="1" applyAlignment="1">
      <alignment horizontal="center" vertical="center" wrapText="1"/>
    </xf>
    <xf numFmtId="0" fontId="5" fillId="2" borderId="11" xfId="0" quotePrefix="1" applyFont="1" applyFill="1" applyBorder="1" applyAlignment="1">
      <alignment horizontal="center" vertical="center"/>
    </xf>
    <xf numFmtId="174" fontId="5" fillId="2" borderId="11" xfId="1" quotePrefix="1" applyNumberFormat="1" applyFont="1" applyFill="1" applyBorder="1" applyAlignment="1">
      <alignment horizontal="center" vertical="center"/>
    </xf>
    <xf numFmtId="0" fontId="4" fillId="2" borderId="9" xfId="0" applyFont="1" applyFill="1" applyBorder="1"/>
    <xf numFmtId="174" fontId="4" fillId="2" borderId="9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left" vertical="center" wrapText="1"/>
    </xf>
    <xf numFmtId="174" fontId="6" fillId="2" borderId="9" xfId="1" applyNumberFormat="1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0" fontId="6" fillId="2" borderId="9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164" fontId="9" fillId="0" borderId="9" xfId="1" applyNumberFormat="1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vertical="center"/>
    </xf>
    <xf numFmtId="174" fontId="6" fillId="2" borderId="9" xfId="1" applyNumberFormat="1" applyFont="1" applyFill="1" applyBorder="1"/>
    <xf numFmtId="174" fontId="6" fillId="2" borderId="9" xfId="1" applyNumberFormat="1" applyFont="1" applyFill="1" applyBorder="1" applyAlignment="1">
      <alignment horizontal="center"/>
    </xf>
    <xf numFmtId="174" fontId="1" fillId="2" borderId="9" xfId="1" applyNumberFormat="1" applyFont="1" applyFill="1" applyBorder="1"/>
    <xf numFmtId="174" fontId="5" fillId="2" borderId="9" xfId="1" applyNumberFormat="1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164" fontId="9" fillId="0" borderId="12" xfId="1" applyNumberFormat="1" applyFont="1" applyFill="1" applyBorder="1" applyAlignment="1">
      <alignment horizontal="left" vertical="center" wrapText="1"/>
    </xf>
    <xf numFmtId="174" fontId="6" fillId="2" borderId="12" xfId="1" applyNumberFormat="1" applyFont="1" applyFill="1" applyBorder="1"/>
    <xf numFmtId="174" fontId="1" fillId="2" borderId="12" xfId="1" applyNumberFormat="1" applyFont="1" applyFill="1" applyBorder="1"/>
    <xf numFmtId="0" fontId="6" fillId="3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 wrapText="1"/>
    </xf>
    <xf numFmtId="174" fontId="6" fillId="3" borderId="9" xfId="1" applyNumberFormat="1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3" borderId="0" xfId="0" applyFont="1" applyFill="1" applyBorder="1" applyAlignment="1">
      <alignment horizontal="center" vertical="center"/>
    </xf>
    <xf numFmtId="0" fontId="3" fillId="3" borderId="0" xfId="0" applyFont="1" applyFill="1" applyBorder="1"/>
    <xf numFmtId="0" fontId="3" fillId="3" borderId="0" xfId="0" applyFont="1" applyFill="1"/>
    <xf numFmtId="0" fontId="6" fillId="3" borderId="9" xfId="0" applyFont="1" applyFill="1" applyBorder="1" applyAlignment="1">
      <alignment horizontal="center" vertical="center"/>
    </xf>
    <xf numFmtId="174" fontId="6" fillId="3" borderId="9" xfId="1" applyNumberFormat="1" applyFont="1" applyFill="1" applyBorder="1" applyAlignment="1">
      <alignment horizontal="center" vertical="center" wrapText="1"/>
    </xf>
    <xf numFmtId="0" fontId="4" fillId="3" borderId="9" xfId="0" applyFont="1" applyFill="1" applyBorder="1"/>
    <xf numFmtId="0" fontId="4" fillId="3" borderId="9" xfId="0" applyFont="1" applyFill="1" applyBorder="1" applyAlignment="1">
      <alignment horizontal="center" vertical="center"/>
    </xf>
    <xf numFmtId="174" fontId="4" fillId="3" borderId="9" xfId="1" applyNumberFormat="1" applyFont="1" applyFill="1" applyBorder="1" applyAlignment="1">
      <alignment horizontal="center" vertical="center"/>
    </xf>
    <xf numFmtId="0" fontId="4" fillId="3" borderId="0" xfId="0" applyFont="1" applyFill="1"/>
    <xf numFmtId="4" fontId="6" fillId="0" borderId="9" xfId="0" quotePrefix="1" applyNumberFormat="1" applyFont="1" applyFill="1" applyBorder="1" applyAlignment="1">
      <alignment horizontal="center" vertical="center" wrapText="1"/>
    </xf>
    <xf numFmtId="3" fontId="23" fillId="0" borderId="9" xfId="0" applyNumberFormat="1" applyFont="1" applyFill="1" applyBorder="1" applyAlignment="1">
      <alignment horizontal="justify" vertical="center" wrapText="1"/>
    </xf>
    <xf numFmtId="0" fontId="24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164" fontId="24" fillId="0" borderId="9" xfId="1" applyNumberFormat="1" applyFont="1" applyFill="1" applyBorder="1" applyAlignment="1">
      <alignment horizontal="center" vertical="center"/>
    </xf>
    <xf numFmtId="3" fontId="1" fillId="0" borderId="9" xfId="0" applyNumberFormat="1" applyFont="1" applyFill="1" applyBorder="1" applyAlignment="1">
      <alignment horizontal="center" vertical="center" wrapText="1"/>
    </xf>
    <xf numFmtId="3" fontId="6" fillId="0" borderId="9" xfId="0" applyNumberFormat="1" applyFont="1" applyFill="1" applyBorder="1" applyAlignment="1">
      <alignment horizontal="center" vertical="center" wrapText="1"/>
    </xf>
    <xf numFmtId="3" fontId="6" fillId="0" borderId="9" xfId="0" applyNumberFormat="1" applyFont="1" applyFill="1" applyBorder="1" applyAlignment="1">
      <alignment horizontal="justify" vertical="center" wrapText="1"/>
    </xf>
    <xf numFmtId="3" fontId="6" fillId="0" borderId="9" xfId="1" applyNumberFormat="1" applyFont="1" applyFill="1" applyBorder="1" applyAlignment="1">
      <alignment horizontal="center" vertical="center" wrapText="1"/>
    </xf>
    <xf numFmtId="3" fontId="6" fillId="0" borderId="9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164" fontId="5" fillId="0" borderId="9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5" fontId="4" fillId="0" borderId="9" xfId="0" applyNumberFormat="1" applyFont="1" applyFill="1" applyBorder="1" applyAlignment="1">
      <alignment horizontal="center" vertical="center"/>
    </xf>
    <xf numFmtId="164" fontId="4" fillId="0" borderId="9" xfId="0" applyNumberFormat="1" applyFont="1" applyFill="1" applyBorder="1" applyAlignment="1">
      <alignment horizontal="center" vertical="center"/>
    </xf>
    <xf numFmtId="3" fontId="9" fillId="0" borderId="9" xfId="0" applyNumberFormat="1" applyFont="1" applyFill="1" applyBorder="1" applyAlignment="1">
      <alignment horizontal="justify" vertical="center" wrapText="1"/>
    </xf>
    <xf numFmtId="0" fontId="9" fillId="0" borderId="0" xfId="0" applyFont="1" applyFill="1" applyBorder="1" applyAlignment="1"/>
    <xf numFmtId="0" fontId="9" fillId="0" borderId="0" xfId="0" applyFont="1" applyFill="1" applyAlignment="1"/>
    <xf numFmtId="172" fontId="7" fillId="0" borderId="9" xfId="0" applyNumberFormat="1" applyFont="1" applyFill="1" applyBorder="1" applyAlignment="1">
      <alignment horizontal="center" vertical="center"/>
    </xf>
    <xf numFmtId="164" fontId="9" fillId="0" borderId="9" xfId="1" applyNumberFormat="1" applyFont="1" applyFill="1" applyBorder="1" applyAlignment="1">
      <alignment horizontal="center" vertical="center"/>
    </xf>
    <xf numFmtId="3" fontId="9" fillId="0" borderId="9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/>
    </xf>
    <xf numFmtId="0" fontId="4" fillId="0" borderId="10" xfId="0" applyFont="1" applyFill="1" applyBorder="1" applyAlignment="1">
      <alignment vertical="center"/>
    </xf>
    <xf numFmtId="0" fontId="5" fillId="0" borderId="1" xfId="0" quotePrefix="1" applyFont="1" applyFill="1" applyBorder="1" applyAlignment="1">
      <alignment horizontal="center" vertical="center"/>
    </xf>
    <xf numFmtId="164" fontId="5" fillId="0" borderId="1" xfId="1" quotePrefix="1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0" xfId="0" applyFont="1" applyAlignment="1">
      <alignment horizontal="right" vertical="center"/>
    </xf>
    <xf numFmtId="0" fontId="26" fillId="0" borderId="0" xfId="0" applyFont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9" fillId="0" borderId="0" xfId="0" applyFont="1" applyAlignment="1">
      <alignment horizontal="right"/>
    </xf>
    <xf numFmtId="164" fontId="9" fillId="0" borderId="0" xfId="1" applyNumberFormat="1" applyFont="1" applyFill="1" applyAlignment="1">
      <alignment horizontal="right"/>
    </xf>
    <xf numFmtId="0" fontId="4" fillId="0" borderId="1" xfId="0" applyFont="1" applyFill="1" applyBorder="1" applyAlignment="1">
      <alignment horizontal="right" vertical="center"/>
    </xf>
    <xf numFmtId="164" fontId="4" fillId="0" borderId="1" xfId="1" applyNumberFormat="1" applyFont="1" applyFill="1" applyBorder="1" applyAlignment="1">
      <alignment horizontal="right" vertical="center"/>
    </xf>
    <xf numFmtId="164" fontId="4" fillId="0" borderId="10" xfId="1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164" fontId="6" fillId="0" borderId="9" xfId="1" applyNumberFormat="1" applyFont="1" applyFill="1" applyBorder="1" applyAlignment="1">
      <alignment horizontal="right" vertical="center"/>
    </xf>
    <xf numFmtId="164" fontId="4" fillId="0" borderId="9" xfId="1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right" vertical="center"/>
    </xf>
    <xf numFmtId="170" fontId="6" fillId="0" borderId="9" xfId="1" applyNumberFormat="1" applyFont="1" applyFill="1" applyBorder="1" applyAlignment="1">
      <alignment horizontal="right" vertical="center"/>
    </xf>
    <xf numFmtId="164" fontId="7" fillId="0" borderId="9" xfId="1" applyNumberFormat="1" applyFont="1" applyFill="1" applyBorder="1" applyAlignment="1">
      <alignment horizontal="right" vertical="center"/>
    </xf>
    <xf numFmtId="164" fontId="1" fillId="0" borderId="9" xfId="1" applyNumberFormat="1" applyFont="1" applyFill="1" applyBorder="1" applyAlignment="1">
      <alignment horizontal="right"/>
    </xf>
    <xf numFmtId="169" fontId="1" fillId="0" borderId="9" xfId="0" applyNumberFormat="1" applyFont="1" applyFill="1" applyBorder="1" applyAlignment="1">
      <alignment horizontal="right"/>
    </xf>
    <xf numFmtId="0" fontId="7" fillId="0" borderId="9" xfId="0" applyFont="1" applyFill="1" applyBorder="1" applyAlignment="1">
      <alignment horizontal="right" vertical="center"/>
    </xf>
    <xf numFmtId="170" fontId="7" fillId="0" borderId="9" xfId="1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right" vertical="center"/>
    </xf>
    <xf numFmtId="164" fontId="6" fillId="0" borderId="9" xfId="0" applyNumberFormat="1" applyFont="1" applyFill="1" applyBorder="1" applyAlignment="1">
      <alignment horizontal="right" vertical="center"/>
    </xf>
    <xf numFmtId="175" fontId="4" fillId="0" borderId="9" xfId="0" applyNumberFormat="1" applyFont="1" applyFill="1" applyBorder="1" applyAlignment="1">
      <alignment horizontal="right" vertical="center"/>
    </xf>
    <xf numFmtId="164" fontId="4" fillId="0" borderId="9" xfId="0" applyNumberFormat="1" applyFont="1" applyFill="1" applyBorder="1" applyAlignment="1">
      <alignment horizontal="right" vertical="center"/>
    </xf>
    <xf numFmtId="173" fontId="6" fillId="0" borderId="9" xfId="1" applyNumberFormat="1" applyFont="1" applyFill="1" applyBorder="1" applyAlignment="1">
      <alignment horizontal="right" vertical="center"/>
    </xf>
    <xf numFmtId="170" fontId="4" fillId="0" borderId="9" xfId="1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164" fontId="4" fillId="2" borderId="9" xfId="1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164" fontId="5" fillId="0" borderId="9" xfId="1" applyNumberFormat="1" applyFont="1" applyFill="1" applyBorder="1" applyAlignment="1">
      <alignment horizontal="right" vertical="center"/>
    </xf>
    <xf numFmtId="0" fontId="5" fillId="0" borderId="9" xfId="0" applyNumberFormat="1" applyFont="1" applyFill="1" applyBorder="1" applyAlignment="1">
      <alignment horizontal="right" vertical="center"/>
    </xf>
    <xf numFmtId="3" fontId="7" fillId="0" borderId="9" xfId="1" applyNumberFormat="1" applyFont="1" applyFill="1" applyBorder="1" applyAlignment="1">
      <alignment horizontal="right" vertical="center"/>
    </xf>
    <xf numFmtId="3" fontId="10" fillId="0" borderId="9" xfId="0" applyNumberFormat="1" applyFont="1" applyFill="1" applyBorder="1" applyAlignment="1">
      <alignment horizontal="right" vertical="center"/>
    </xf>
    <xf numFmtId="3" fontId="8" fillId="0" borderId="9" xfId="0" applyNumberFormat="1" applyFont="1" applyFill="1" applyBorder="1" applyAlignment="1">
      <alignment horizontal="right" vertical="center"/>
    </xf>
    <xf numFmtId="165" fontId="9" fillId="0" borderId="9" xfId="1" applyNumberFormat="1" applyFont="1" applyFill="1" applyBorder="1" applyAlignment="1">
      <alignment horizontal="right" vertical="center"/>
    </xf>
    <xf numFmtId="166" fontId="9" fillId="0" borderId="9" xfId="1" applyNumberFormat="1" applyFont="1" applyFill="1" applyBorder="1" applyAlignment="1">
      <alignment horizontal="right" vertical="center"/>
    </xf>
    <xf numFmtId="167" fontId="9" fillId="0" borderId="9" xfId="1" applyNumberFormat="1" applyFont="1" applyFill="1" applyBorder="1" applyAlignment="1">
      <alignment horizontal="right" vertical="center"/>
    </xf>
    <xf numFmtId="165" fontId="8" fillId="0" borderId="9" xfId="1" applyNumberFormat="1" applyFont="1" applyFill="1" applyBorder="1" applyAlignment="1">
      <alignment horizontal="right" vertical="center"/>
    </xf>
    <xf numFmtId="0" fontId="8" fillId="0" borderId="9" xfId="0" applyFont="1" applyFill="1" applyBorder="1" applyAlignment="1">
      <alignment horizontal="right" vertical="center"/>
    </xf>
    <xf numFmtId="166" fontId="9" fillId="0" borderId="9" xfId="1" applyNumberFormat="1" applyFont="1" applyFill="1" applyBorder="1" applyAlignment="1">
      <alignment horizontal="right"/>
    </xf>
    <xf numFmtId="165" fontId="9" fillId="0" borderId="9" xfId="1" applyNumberFormat="1" applyFont="1" applyFill="1" applyBorder="1" applyAlignment="1">
      <alignment horizontal="right"/>
    </xf>
    <xf numFmtId="165" fontId="8" fillId="0" borderId="9" xfId="1" applyNumberFormat="1" applyFont="1" applyFill="1" applyBorder="1" applyAlignment="1">
      <alignment horizontal="right"/>
    </xf>
    <xf numFmtId="166" fontId="8" fillId="0" borderId="9" xfId="1" applyNumberFormat="1" applyFont="1" applyFill="1" applyBorder="1" applyAlignment="1">
      <alignment horizontal="right"/>
    </xf>
    <xf numFmtId="3" fontId="5" fillId="0" borderId="9" xfId="0" applyNumberFormat="1" applyFont="1" applyFill="1" applyBorder="1" applyAlignment="1">
      <alignment horizontal="right" vertical="center"/>
    </xf>
    <xf numFmtId="43" fontId="5" fillId="0" borderId="9" xfId="1" applyFont="1" applyFill="1" applyBorder="1" applyAlignment="1">
      <alignment horizontal="right" vertical="center"/>
    </xf>
    <xf numFmtId="164" fontId="5" fillId="0" borderId="9" xfId="1" quotePrefix="1" applyNumberFormat="1" applyFont="1" applyFill="1" applyBorder="1" applyAlignment="1">
      <alignment horizontal="right" vertical="center"/>
    </xf>
    <xf numFmtId="171" fontId="5" fillId="0" borderId="9" xfId="1" applyNumberFormat="1" applyFont="1" applyFill="1" applyBorder="1" applyAlignment="1">
      <alignment horizontal="right" vertical="center"/>
    </xf>
    <xf numFmtId="170" fontId="5" fillId="0" borderId="9" xfId="1" applyNumberFormat="1" applyFont="1" applyFill="1" applyBorder="1" applyAlignment="1">
      <alignment horizontal="right" vertical="center"/>
    </xf>
    <xf numFmtId="3" fontId="23" fillId="0" borderId="9" xfId="0" applyNumberFormat="1" applyFont="1" applyFill="1" applyBorder="1" applyAlignment="1">
      <alignment horizontal="right" vertical="center"/>
    </xf>
    <xf numFmtId="164" fontId="24" fillId="0" borderId="9" xfId="1" applyNumberFormat="1" applyFont="1" applyFill="1" applyBorder="1" applyAlignment="1">
      <alignment horizontal="right" vertical="center"/>
    </xf>
    <xf numFmtId="164" fontId="23" fillId="0" borderId="9" xfId="1" applyNumberFormat="1" applyFont="1" applyFill="1" applyBorder="1" applyAlignment="1">
      <alignment horizontal="right" vertical="center"/>
    </xf>
    <xf numFmtId="43" fontId="5" fillId="0" borderId="9" xfId="1" applyNumberFormat="1" applyFont="1" applyFill="1" applyBorder="1" applyAlignment="1">
      <alignment horizontal="right" vertical="center"/>
    </xf>
    <xf numFmtId="3" fontId="9" fillId="0" borderId="9" xfId="0" applyNumberFormat="1" applyFont="1" applyFill="1" applyBorder="1" applyAlignment="1">
      <alignment horizontal="right" vertical="center"/>
    </xf>
    <xf numFmtId="164" fontId="9" fillId="0" borderId="9" xfId="1" applyNumberFormat="1" applyFont="1" applyFill="1" applyBorder="1" applyAlignment="1">
      <alignment horizontal="right" vertical="center"/>
    </xf>
    <xf numFmtId="172" fontId="7" fillId="0" borderId="9" xfId="0" applyNumberFormat="1" applyFont="1" applyFill="1" applyBorder="1" applyAlignment="1">
      <alignment horizontal="right" vertical="center"/>
    </xf>
    <xf numFmtId="43" fontId="6" fillId="0" borderId="9" xfId="1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/>
    </xf>
    <xf numFmtId="164" fontId="1" fillId="0" borderId="0" xfId="1" applyNumberFormat="1" applyFont="1" applyFill="1" applyAlignment="1">
      <alignment horizontal="right"/>
    </xf>
    <xf numFmtId="164" fontId="2" fillId="0" borderId="0" xfId="1" applyNumberFormat="1" applyFont="1" applyFill="1" applyAlignment="1">
      <alignment horizontal="right"/>
    </xf>
    <xf numFmtId="164" fontId="3" fillId="0" borderId="0" xfId="1" applyNumberFormat="1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6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3" fontId="6" fillId="0" borderId="12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right" vertical="center"/>
    </xf>
    <xf numFmtId="164" fontId="6" fillId="0" borderId="12" xfId="1" applyNumberFormat="1" applyFont="1" applyFill="1" applyBorder="1" applyAlignment="1">
      <alignment horizontal="right" vertical="center"/>
    </xf>
    <xf numFmtId="164" fontId="6" fillId="0" borderId="12" xfId="1" applyNumberFormat="1" applyFont="1" applyFill="1" applyBorder="1" applyAlignment="1">
      <alignment horizontal="center" vertical="center"/>
    </xf>
    <xf numFmtId="164" fontId="4" fillId="0" borderId="1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Alignment="1"/>
    <xf numFmtId="164" fontId="4" fillId="0" borderId="1" xfId="1" applyNumberFormat="1" applyFont="1" applyFill="1" applyBorder="1" applyAlignment="1">
      <alignment vertical="center"/>
    </xf>
    <xf numFmtId="164" fontId="5" fillId="0" borderId="1" xfId="1" quotePrefix="1" applyNumberFormat="1" applyFont="1" applyFill="1" applyBorder="1" applyAlignment="1">
      <alignment vertical="center"/>
    </xf>
    <xf numFmtId="3" fontId="4" fillId="0" borderId="9" xfId="0" applyNumberFormat="1" applyFont="1" applyFill="1" applyBorder="1" applyAlignment="1">
      <alignment vertical="center"/>
    </xf>
    <xf numFmtId="164" fontId="6" fillId="0" borderId="9" xfId="1" applyNumberFormat="1" applyFont="1" applyFill="1" applyBorder="1" applyAlignment="1">
      <alignment vertical="center"/>
    </xf>
    <xf numFmtId="164" fontId="4" fillId="0" borderId="9" xfId="1" applyNumberFormat="1" applyFont="1" applyFill="1" applyBorder="1" applyAlignment="1">
      <alignment vertical="center"/>
    </xf>
    <xf numFmtId="170" fontId="6" fillId="0" borderId="9" xfId="1" applyNumberFormat="1" applyFont="1" applyFill="1" applyBorder="1" applyAlignment="1">
      <alignment vertical="center"/>
    </xf>
    <xf numFmtId="164" fontId="7" fillId="0" borderId="9" xfId="1" applyNumberFormat="1" applyFont="1" applyFill="1" applyBorder="1" applyAlignment="1">
      <alignment vertical="center"/>
    </xf>
    <xf numFmtId="3" fontId="7" fillId="0" borderId="9" xfId="0" applyNumberFormat="1" applyFont="1" applyFill="1" applyBorder="1" applyAlignment="1">
      <alignment vertical="center"/>
    </xf>
    <xf numFmtId="175" fontId="4" fillId="0" borderId="9" xfId="0" applyNumberFormat="1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164" fontId="4" fillId="0" borderId="9" xfId="0" applyNumberFormat="1" applyFont="1" applyFill="1" applyBorder="1" applyAlignment="1">
      <alignment vertical="center"/>
    </xf>
    <xf numFmtId="170" fontId="4" fillId="0" borderId="9" xfId="1" applyNumberFormat="1" applyFont="1" applyFill="1" applyBorder="1" applyAlignment="1">
      <alignment vertical="center"/>
    </xf>
    <xf numFmtId="164" fontId="4" fillId="2" borderId="9" xfId="1" applyNumberFormat="1" applyFont="1" applyFill="1" applyBorder="1" applyAlignment="1">
      <alignment vertical="center"/>
    </xf>
    <xf numFmtId="164" fontId="5" fillId="0" borderId="9" xfId="1" applyNumberFormat="1" applyFont="1" applyFill="1" applyBorder="1" applyAlignment="1">
      <alignment vertical="center"/>
    </xf>
    <xf numFmtId="0" fontId="5" fillId="0" borderId="9" xfId="1" applyNumberFormat="1" applyFont="1" applyFill="1" applyBorder="1" applyAlignment="1">
      <alignment vertical="center"/>
    </xf>
    <xf numFmtId="3" fontId="7" fillId="0" borderId="9" xfId="1" applyNumberFormat="1" applyFont="1" applyFill="1" applyBorder="1" applyAlignment="1">
      <alignment vertical="center"/>
    </xf>
    <xf numFmtId="3" fontId="10" fillId="0" borderId="9" xfId="0" applyNumberFormat="1" applyFont="1" applyFill="1" applyBorder="1" applyAlignment="1">
      <alignment vertical="center"/>
    </xf>
    <xf numFmtId="3" fontId="8" fillId="0" borderId="9" xfId="0" applyNumberFormat="1" applyFont="1" applyFill="1" applyBorder="1" applyAlignment="1">
      <alignment vertical="center"/>
    </xf>
    <xf numFmtId="168" fontId="9" fillId="0" borderId="9" xfId="1" applyNumberFormat="1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165" fontId="8" fillId="0" borderId="9" xfId="1" applyNumberFormat="1" applyFont="1" applyFill="1" applyBorder="1" applyAlignment="1"/>
    <xf numFmtId="0" fontId="7" fillId="0" borderId="9" xfId="0" applyFont="1" applyFill="1" applyBorder="1" applyAlignment="1">
      <alignment vertical="center"/>
    </xf>
    <xf numFmtId="176" fontId="5" fillId="0" borderId="9" xfId="1" applyNumberFormat="1" applyFont="1" applyFill="1" applyBorder="1" applyAlignment="1">
      <alignment vertical="center"/>
    </xf>
    <xf numFmtId="43" fontId="5" fillId="0" borderId="9" xfId="1" applyFont="1" applyFill="1" applyBorder="1" applyAlignment="1">
      <alignment vertical="center"/>
    </xf>
    <xf numFmtId="3" fontId="8" fillId="0" borderId="9" xfId="1" applyNumberFormat="1" applyFont="1" applyFill="1" applyBorder="1" applyAlignment="1">
      <alignment vertical="center" wrapText="1"/>
    </xf>
    <xf numFmtId="170" fontId="5" fillId="0" borderId="9" xfId="1" applyNumberFormat="1" applyFont="1" applyFill="1" applyBorder="1" applyAlignment="1">
      <alignment vertical="center"/>
    </xf>
    <xf numFmtId="164" fontId="24" fillId="0" borderId="9" xfId="1" applyNumberFormat="1" applyFont="1" applyFill="1" applyBorder="1" applyAlignment="1">
      <alignment vertical="center"/>
    </xf>
    <xf numFmtId="164" fontId="9" fillId="0" borderId="9" xfId="1" applyNumberFormat="1" applyFont="1" applyFill="1" applyBorder="1" applyAlignment="1">
      <alignment vertical="center"/>
    </xf>
    <xf numFmtId="172" fontId="7" fillId="0" borderId="9" xfId="0" applyNumberFormat="1" applyFont="1" applyFill="1" applyBorder="1" applyAlignment="1">
      <alignment vertical="center"/>
    </xf>
    <xf numFmtId="39" fontId="6" fillId="0" borderId="9" xfId="1" applyNumberFormat="1" applyFont="1" applyFill="1" applyBorder="1" applyAlignment="1">
      <alignment vertical="center"/>
    </xf>
    <xf numFmtId="3" fontId="6" fillId="0" borderId="9" xfId="0" applyNumberFormat="1" applyFont="1" applyFill="1" applyBorder="1" applyAlignment="1">
      <alignment vertical="center"/>
    </xf>
    <xf numFmtId="171" fontId="6" fillId="0" borderId="9" xfId="1" applyNumberFormat="1" applyFont="1" applyFill="1" applyBorder="1" applyAlignment="1">
      <alignment vertical="center"/>
    </xf>
    <xf numFmtId="164" fontId="6" fillId="0" borderId="12" xfId="1" applyNumberFormat="1" applyFont="1" applyFill="1" applyBorder="1" applyAlignment="1">
      <alignment vertical="center"/>
    </xf>
    <xf numFmtId="164" fontId="2" fillId="0" borderId="0" xfId="1" applyNumberFormat="1" applyFont="1" applyFill="1" applyAlignment="1"/>
    <xf numFmtId="164" fontId="3" fillId="0" borderId="0" xfId="1" applyNumberFormat="1" applyFont="1" applyFill="1" applyAlignment="1"/>
    <xf numFmtId="0" fontId="1" fillId="0" borderId="0" xfId="0" applyFont="1" applyFill="1"/>
    <xf numFmtId="0" fontId="7" fillId="0" borderId="0" xfId="0" applyFont="1" applyFill="1" applyBorder="1"/>
    <xf numFmtId="0" fontId="16" fillId="0" borderId="0" xfId="0" applyFont="1" applyFill="1" applyBorder="1"/>
    <xf numFmtId="0" fontId="16" fillId="0" borderId="0" xfId="0" applyFont="1" applyFill="1"/>
    <xf numFmtId="0" fontId="1" fillId="0" borderId="0" xfId="0" applyFont="1" applyFill="1" applyBorder="1"/>
    <xf numFmtId="0" fontId="3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quotePrefix="1" applyFont="1" applyFill="1" applyBorder="1" applyAlignment="1">
      <alignment horizontal="center" vertical="center" wrapText="1"/>
    </xf>
    <xf numFmtId="3" fontId="6" fillId="0" borderId="9" xfId="0" applyNumberFormat="1" applyFont="1" applyFill="1" applyBorder="1" applyAlignment="1">
      <alignment horizontal="justify" vertical="center" wrapText="1"/>
    </xf>
    <xf numFmtId="164" fontId="5" fillId="0" borderId="9" xfId="1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right" vertical="center"/>
    </xf>
    <xf numFmtId="164" fontId="6" fillId="0" borderId="9" xfId="1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64" fontId="7" fillId="0" borderId="9" xfId="1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164" fontId="5" fillId="0" borderId="9" xfId="1" applyNumberFormat="1" applyFont="1" applyFill="1" applyBorder="1" applyAlignment="1">
      <alignment horizontal="right" vertical="center"/>
    </xf>
    <xf numFmtId="3" fontId="5" fillId="0" borderId="9" xfId="0" applyNumberFormat="1" applyFont="1" applyFill="1" applyBorder="1" applyAlignment="1">
      <alignment horizontal="right" vertical="center"/>
    </xf>
    <xf numFmtId="49" fontId="6" fillId="0" borderId="9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vertical="center"/>
    </xf>
    <xf numFmtId="0" fontId="6" fillId="0" borderId="0" xfId="0" applyFont="1" applyFill="1" applyBorder="1"/>
    <xf numFmtId="0" fontId="6" fillId="0" borderId="9" xfId="0" applyFont="1" applyBorder="1" applyAlignment="1">
      <alignment horizontal="justify" vertical="center" wrapText="1"/>
    </xf>
    <xf numFmtId="3" fontId="6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28" fillId="0" borderId="0" xfId="0" applyFont="1" applyAlignment="1">
      <alignment horizontal="right" vertical="center" wrapText="1"/>
    </xf>
    <xf numFmtId="164" fontId="8" fillId="0" borderId="0" xfId="1" applyNumberFormat="1" applyFont="1" applyFill="1" applyAlignment="1">
      <alignment horizontal="right"/>
    </xf>
    <xf numFmtId="0" fontId="15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/>
    </xf>
    <xf numFmtId="164" fontId="5" fillId="0" borderId="9" xfId="1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right"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74" fontId="4" fillId="2" borderId="3" xfId="1" applyNumberFormat="1" applyFont="1" applyFill="1" applyBorder="1" applyAlignment="1">
      <alignment horizontal="center" vertical="center"/>
    </xf>
    <xf numFmtId="174" fontId="4" fillId="2" borderId="4" xfId="1" applyNumberFormat="1" applyFont="1" applyFill="1" applyBorder="1" applyAlignment="1">
      <alignment horizontal="center" vertical="center"/>
    </xf>
    <xf numFmtId="174" fontId="4" fillId="2" borderId="6" xfId="1" applyNumberFormat="1" applyFont="1" applyFill="1" applyBorder="1" applyAlignment="1">
      <alignment horizontal="center" vertical="center"/>
    </xf>
    <xf numFmtId="174" fontId="4" fillId="2" borderId="3" xfId="1" applyNumberFormat="1" applyFont="1" applyFill="1" applyBorder="1" applyAlignment="1">
      <alignment horizontal="center" vertical="center" wrapText="1"/>
    </xf>
    <xf numFmtId="174" fontId="4" fillId="2" borderId="4" xfId="1" applyNumberFormat="1" applyFont="1" applyFill="1" applyBorder="1" applyAlignment="1">
      <alignment horizontal="center" vertical="center" wrapText="1"/>
    </xf>
    <xf numFmtId="174" fontId="4" fillId="2" borderId="6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174" fontId="1" fillId="2" borderId="0" xfId="1" applyNumberFormat="1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74" fontId="4" fillId="2" borderId="1" xfId="1" applyNumberFormat="1" applyFont="1" applyFill="1" applyBorder="1" applyAlignment="1">
      <alignment horizontal="center" vertical="center"/>
    </xf>
    <xf numFmtId="174" fontId="4" fillId="2" borderId="1" xfId="1" applyNumberFormat="1" applyFont="1" applyFill="1" applyBorder="1" applyAlignment="1">
      <alignment horizontal="center" vertical="center" wrapText="1"/>
    </xf>
    <xf numFmtId="174" fontId="4" fillId="2" borderId="2" xfId="1" applyNumberFormat="1" applyFont="1" applyFill="1" applyBorder="1" applyAlignment="1">
      <alignment horizontal="center" vertical="center" wrapText="1"/>
    </xf>
    <xf numFmtId="174" fontId="4" fillId="2" borderId="7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1104900</xdr:colOff>
      <xdr:row>1</xdr:row>
      <xdr:rowOff>68580</xdr:rowOff>
    </xdr:from>
    <xdr:to>
      <xdr:col>1</xdr:col>
      <xdr:colOff>1544834</xdr:colOff>
      <xdr:row>1</xdr:row>
      <xdr:rowOff>68580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447800" y="259080"/>
          <a:ext cx="420884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209550</xdr:colOff>
      <xdr:row>4</xdr:row>
      <xdr:rowOff>51435</xdr:rowOff>
    </xdr:from>
    <xdr:to>
      <xdr:col>18</xdr:col>
      <xdr:colOff>266700</xdr:colOff>
      <xdr:row>4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563225" y="1270635"/>
          <a:ext cx="2876550" cy="571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N235"/>
  <sheetViews>
    <sheetView showZeros="0" tabSelected="1" topLeftCell="T1" zoomScale="115" zoomScaleNormal="115" workbookViewId="0">
      <selection activeCell="AL9" sqref="AL9"/>
    </sheetView>
  </sheetViews>
  <sheetFormatPr defaultRowHeight="15" x14ac:dyDescent="0.25"/>
  <cols>
    <col min="1" max="1" width="5.140625" style="133" customWidth="1"/>
    <col min="2" max="2" width="27.140625" style="8" customWidth="1"/>
    <col min="3" max="3" width="10.7109375" style="209" customWidth="1"/>
    <col min="4" max="4" width="11.85546875" style="209" customWidth="1"/>
    <col min="5" max="5" width="10.85546875" style="209" customWidth="1"/>
    <col min="6" max="6" width="11" style="209" customWidth="1"/>
    <col min="7" max="7" width="10.7109375" style="209" customWidth="1"/>
    <col min="8" max="8" width="13" style="209" customWidth="1"/>
    <col min="9" max="9" width="12.85546875" style="210" customWidth="1"/>
    <col min="10" max="10" width="13.42578125" style="210" customWidth="1"/>
    <col min="11" max="15" width="10.7109375" style="210" customWidth="1"/>
    <col min="16" max="16" width="11.42578125" style="210" customWidth="1"/>
    <col min="17" max="17" width="10.28515625" style="210" customWidth="1"/>
    <col min="18" max="18" width="9.85546875" style="210" customWidth="1"/>
    <col min="19" max="19" width="9" style="210" customWidth="1"/>
    <col min="20" max="20" width="9.85546875" style="210" customWidth="1"/>
    <col min="21" max="21" width="10" style="210" customWidth="1"/>
    <col min="22" max="22" width="10.28515625" style="210" customWidth="1"/>
    <col min="23" max="23" width="10" style="210" customWidth="1"/>
    <col min="24" max="24" width="10.28515625" style="210" customWidth="1"/>
    <col min="25" max="25" width="12.42578125" style="210" customWidth="1"/>
    <col min="26" max="26" width="13.28515625" style="210" customWidth="1"/>
    <col min="27" max="27" width="14" style="210" customWidth="1"/>
    <col min="28" max="28" width="10.7109375" style="210" customWidth="1"/>
    <col min="29" max="29" width="10.5703125" style="210" customWidth="1"/>
    <col min="30" max="30" width="16.28515625" style="221" customWidth="1"/>
    <col min="31" max="31" width="12.140625" style="210" customWidth="1"/>
    <col min="32" max="32" width="10.85546875" style="210" customWidth="1"/>
    <col min="33" max="33" width="9.5703125" style="210" customWidth="1"/>
    <col min="34" max="34" width="11.5703125" style="210" customWidth="1"/>
    <col min="35" max="35" width="10.28515625" style="210" customWidth="1"/>
    <col min="36" max="36" width="7" style="17" customWidth="1"/>
    <col min="37" max="16384" width="9.140625" style="7"/>
  </cols>
  <sheetData>
    <row r="1" spans="1:40" s="151" customFormat="1" ht="24.75" customHeight="1" x14ac:dyDescent="0.25">
      <c r="A1" s="149"/>
      <c r="B1" s="150" t="s">
        <v>239</v>
      </c>
      <c r="C1" s="154"/>
      <c r="D1" s="288"/>
      <c r="E1" s="288"/>
      <c r="F1" s="288"/>
      <c r="G1" s="288"/>
      <c r="H1" s="288"/>
      <c r="I1" s="288"/>
      <c r="J1" s="155"/>
      <c r="K1" s="155"/>
      <c r="L1" s="154"/>
      <c r="M1" s="154"/>
      <c r="N1" s="154"/>
      <c r="O1" s="154"/>
      <c r="P1" s="154"/>
      <c r="Q1" s="154"/>
      <c r="R1" s="288"/>
      <c r="S1" s="289"/>
      <c r="T1" s="289"/>
      <c r="U1" s="289"/>
      <c r="V1" s="289"/>
      <c r="W1" s="289"/>
      <c r="X1" s="289"/>
      <c r="Y1" s="289"/>
      <c r="Z1" s="156"/>
      <c r="AA1" s="156"/>
      <c r="AB1" s="156"/>
      <c r="AC1" s="286" t="s">
        <v>240</v>
      </c>
      <c r="AD1" s="286"/>
      <c r="AE1" s="286"/>
      <c r="AF1" s="286"/>
      <c r="AG1" s="286"/>
      <c r="AH1" s="286"/>
      <c r="AI1" s="286"/>
      <c r="AJ1" s="286"/>
    </row>
    <row r="2" spans="1:40" s="11" customFormat="1" x14ac:dyDescent="0.25">
      <c r="A2" s="152"/>
      <c r="B2" s="153"/>
      <c r="C2" s="157"/>
      <c r="D2" s="157"/>
      <c r="E2" s="157"/>
      <c r="F2" s="157"/>
      <c r="G2" s="157"/>
      <c r="H2" s="157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8"/>
      <c r="AA2" s="158"/>
      <c r="AB2" s="158"/>
      <c r="AC2" s="287" t="s">
        <v>252</v>
      </c>
      <c r="AD2" s="287"/>
      <c r="AE2" s="287"/>
      <c r="AF2" s="287"/>
      <c r="AG2" s="287"/>
      <c r="AH2" s="287"/>
      <c r="AI2" s="287"/>
      <c r="AJ2" s="287"/>
    </row>
    <row r="3" spans="1:40" s="11" customFormat="1" ht="48.75" customHeight="1" x14ac:dyDescent="0.25">
      <c r="A3" s="290" t="s">
        <v>237</v>
      </c>
      <c r="B3" s="291"/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H3" s="291"/>
      <c r="AI3" s="291"/>
      <c r="AJ3" s="291"/>
    </row>
    <row r="4" spans="1:40" s="13" customFormat="1" ht="16.5" x14ac:dyDescent="0.25">
      <c r="A4" s="294" t="s">
        <v>251</v>
      </c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  <c r="N4" s="294"/>
      <c r="O4" s="294"/>
      <c r="P4" s="294"/>
      <c r="Q4" s="294"/>
      <c r="R4" s="294"/>
      <c r="S4" s="294"/>
      <c r="T4" s="294"/>
      <c r="U4" s="294"/>
      <c r="V4" s="294"/>
      <c r="W4" s="294"/>
      <c r="X4" s="294"/>
      <c r="Y4" s="294"/>
      <c r="Z4" s="294"/>
      <c r="AA4" s="294"/>
      <c r="AB4" s="294"/>
      <c r="AC4" s="294"/>
      <c r="AD4" s="294"/>
      <c r="AE4" s="294"/>
      <c r="AF4" s="294"/>
      <c r="AG4" s="294"/>
      <c r="AH4" s="294"/>
      <c r="AI4" s="294"/>
      <c r="AJ4" s="294"/>
    </row>
    <row r="5" spans="1:40" x14ac:dyDescent="0.25">
      <c r="AH5" s="292" t="s">
        <v>238</v>
      </c>
      <c r="AI5" s="292"/>
      <c r="AJ5" s="292"/>
    </row>
    <row r="6" spans="1:40" s="19" customFormat="1" ht="19.899999999999999" customHeight="1" x14ac:dyDescent="0.2">
      <c r="A6" s="295" t="s">
        <v>0</v>
      </c>
      <c r="B6" s="296" t="s">
        <v>1</v>
      </c>
      <c r="C6" s="295" t="s">
        <v>2</v>
      </c>
      <c r="D6" s="295"/>
      <c r="E6" s="295"/>
      <c r="F6" s="295"/>
      <c r="G6" s="295"/>
      <c r="H6" s="295"/>
      <c r="I6" s="295"/>
      <c r="J6" s="295"/>
      <c r="K6" s="295"/>
      <c r="L6" s="295"/>
      <c r="M6" s="295"/>
      <c r="N6" s="297" t="s">
        <v>3</v>
      </c>
      <c r="O6" s="297"/>
      <c r="P6" s="297"/>
      <c r="Q6" s="297"/>
      <c r="R6" s="297"/>
      <c r="S6" s="297"/>
      <c r="T6" s="297"/>
      <c r="U6" s="297"/>
      <c r="V6" s="297"/>
      <c r="W6" s="297"/>
      <c r="X6" s="297"/>
      <c r="Y6" s="297" t="s">
        <v>4</v>
      </c>
      <c r="Z6" s="297"/>
      <c r="AA6" s="297"/>
      <c r="AB6" s="297"/>
      <c r="AC6" s="297"/>
      <c r="AD6" s="297"/>
      <c r="AE6" s="297"/>
      <c r="AF6" s="297"/>
      <c r="AG6" s="297"/>
      <c r="AH6" s="297"/>
      <c r="AI6" s="297"/>
      <c r="AJ6" s="299" t="s">
        <v>95</v>
      </c>
    </row>
    <row r="7" spans="1:40" s="19" customFormat="1" ht="19.899999999999999" hidden="1" customHeight="1" x14ac:dyDescent="0.2">
      <c r="A7" s="295"/>
      <c r="B7" s="296"/>
      <c r="C7" s="296" t="s">
        <v>21</v>
      </c>
      <c r="D7" s="302" t="s">
        <v>6</v>
      </c>
      <c r="E7" s="302"/>
      <c r="F7" s="302"/>
      <c r="G7" s="302"/>
      <c r="H7" s="159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0"/>
      <c r="T7" s="160"/>
      <c r="U7" s="160"/>
      <c r="V7" s="160"/>
      <c r="W7" s="160"/>
      <c r="X7" s="160"/>
      <c r="Y7" s="160"/>
      <c r="Z7" s="160"/>
      <c r="AA7" s="160"/>
      <c r="AB7" s="160"/>
      <c r="AC7" s="160"/>
      <c r="AD7" s="222"/>
      <c r="AE7" s="160"/>
      <c r="AF7" s="160"/>
      <c r="AG7" s="160"/>
      <c r="AH7" s="160"/>
      <c r="AI7" s="160"/>
      <c r="AJ7" s="297"/>
    </row>
    <row r="8" spans="1:40" s="213" customFormat="1" ht="19.899999999999999" customHeight="1" x14ac:dyDescent="0.2">
      <c r="A8" s="295"/>
      <c r="B8" s="296"/>
      <c r="C8" s="296"/>
      <c r="D8" s="295" t="s">
        <v>6</v>
      </c>
      <c r="E8" s="295"/>
      <c r="F8" s="295"/>
      <c r="G8" s="295"/>
      <c r="H8" s="296" t="s">
        <v>77</v>
      </c>
      <c r="I8" s="300" t="s">
        <v>22</v>
      </c>
      <c r="J8" s="299" t="s">
        <v>23</v>
      </c>
      <c r="K8" s="299"/>
      <c r="L8" s="299"/>
      <c r="M8" s="299"/>
      <c r="N8" s="299" t="s">
        <v>21</v>
      </c>
      <c r="O8" s="297" t="s">
        <v>6</v>
      </c>
      <c r="P8" s="297"/>
      <c r="Q8" s="297"/>
      <c r="R8" s="297"/>
      <c r="S8" s="299" t="s">
        <v>77</v>
      </c>
      <c r="T8" s="300" t="s">
        <v>22</v>
      </c>
      <c r="U8" s="299" t="s">
        <v>23</v>
      </c>
      <c r="V8" s="299"/>
      <c r="W8" s="299"/>
      <c r="X8" s="299"/>
      <c r="Y8" s="299" t="s">
        <v>21</v>
      </c>
      <c r="Z8" s="297" t="s">
        <v>6</v>
      </c>
      <c r="AA8" s="297"/>
      <c r="AB8" s="297"/>
      <c r="AC8" s="297"/>
      <c r="AD8" s="301" t="s">
        <v>77</v>
      </c>
      <c r="AE8" s="299" t="s">
        <v>22</v>
      </c>
      <c r="AF8" s="299" t="s">
        <v>23</v>
      </c>
      <c r="AG8" s="299"/>
      <c r="AH8" s="299"/>
      <c r="AI8" s="299"/>
      <c r="AJ8" s="297"/>
    </row>
    <row r="9" spans="1:40" s="213" customFormat="1" ht="97.5" customHeight="1" x14ac:dyDescent="0.2">
      <c r="A9" s="295"/>
      <c r="B9" s="296"/>
      <c r="C9" s="296"/>
      <c r="D9" s="136" t="s">
        <v>24</v>
      </c>
      <c r="E9" s="136" t="s">
        <v>25</v>
      </c>
      <c r="F9" s="136" t="s">
        <v>26</v>
      </c>
      <c r="G9" s="136" t="s">
        <v>27</v>
      </c>
      <c r="H9" s="296"/>
      <c r="I9" s="300"/>
      <c r="J9" s="135" t="s">
        <v>28</v>
      </c>
      <c r="K9" s="135" t="s">
        <v>78</v>
      </c>
      <c r="L9" s="135" t="s">
        <v>29</v>
      </c>
      <c r="M9" s="135" t="s">
        <v>30</v>
      </c>
      <c r="N9" s="299"/>
      <c r="O9" s="135" t="s">
        <v>24</v>
      </c>
      <c r="P9" s="135" t="s">
        <v>25</v>
      </c>
      <c r="Q9" s="135" t="s">
        <v>96</v>
      </c>
      <c r="R9" s="135" t="s">
        <v>27</v>
      </c>
      <c r="S9" s="299"/>
      <c r="T9" s="300"/>
      <c r="U9" s="135" t="s">
        <v>28</v>
      </c>
      <c r="V9" s="135" t="s">
        <v>78</v>
      </c>
      <c r="W9" s="135" t="s">
        <v>29</v>
      </c>
      <c r="X9" s="135" t="s">
        <v>30</v>
      </c>
      <c r="Y9" s="299"/>
      <c r="Z9" s="135" t="s">
        <v>24</v>
      </c>
      <c r="AA9" s="135" t="s">
        <v>25</v>
      </c>
      <c r="AB9" s="135" t="s">
        <v>96</v>
      </c>
      <c r="AC9" s="135" t="s">
        <v>27</v>
      </c>
      <c r="AD9" s="301"/>
      <c r="AE9" s="299"/>
      <c r="AF9" s="135" t="s">
        <v>28</v>
      </c>
      <c r="AG9" s="135" t="s">
        <v>78</v>
      </c>
      <c r="AH9" s="135" t="s">
        <v>29</v>
      </c>
      <c r="AI9" s="135" t="s">
        <v>30</v>
      </c>
      <c r="AJ9" s="297"/>
    </row>
    <row r="10" spans="1:40" s="18" customFormat="1" ht="15" customHeight="1" x14ac:dyDescent="0.2">
      <c r="A10" s="147" t="s">
        <v>7</v>
      </c>
      <c r="B10" s="147" t="s">
        <v>8</v>
      </c>
      <c r="C10" s="147">
        <v>1</v>
      </c>
      <c r="D10" s="147">
        <v>2</v>
      </c>
      <c r="E10" s="147">
        <v>3</v>
      </c>
      <c r="F10" s="147">
        <v>4</v>
      </c>
      <c r="G10" s="147">
        <v>5</v>
      </c>
      <c r="H10" s="147">
        <v>6</v>
      </c>
      <c r="I10" s="148">
        <v>7</v>
      </c>
      <c r="J10" s="148">
        <v>8</v>
      </c>
      <c r="K10" s="148">
        <v>9</v>
      </c>
      <c r="L10" s="148">
        <v>10</v>
      </c>
      <c r="M10" s="148">
        <v>11</v>
      </c>
      <c r="N10" s="148">
        <v>12</v>
      </c>
      <c r="O10" s="148">
        <v>13</v>
      </c>
      <c r="P10" s="148">
        <v>14</v>
      </c>
      <c r="Q10" s="148">
        <v>15</v>
      </c>
      <c r="R10" s="148">
        <v>16</v>
      </c>
      <c r="S10" s="148">
        <v>17</v>
      </c>
      <c r="T10" s="148">
        <v>18</v>
      </c>
      <c r="U10" s="148">
        <v>19</v>
      </c>
      <c r="V10" s="148">
        <v>20</v>
      </c>
      <c r="W10" s="148">
        <v>21</v>
      </c>
      <c r="X10" s="148">
        <v>22</v>
      </c>
      <c r="Y10" s="148">
        <v>23</v>
      </c>
      <c r="Z10" s="148">
        <v>24</v>
      </c>
      <c r="AA10" s="148">
        <v>25</v>
      </c>
      <c r="AB10" s="148">
        <v>26</v>
      </c>
      <c r="AC10" s="148">
        <v>27</v>
      </c>
      <c r="AD10" s="223">
        <v>28</v>
      </c>
      <c r="AE10" s="148">
        <v>29</v>
      </c>
      <c r="AF10" s="148">
        <v>30</v>
      </c>
      <c r="AG10" s="148">
        <v>31</v>
      </c>
      <c r="AH10" s="148">
        <v>32</v>
      </c>
      <c r="AI10" s="148">
        <v>33</v>
      </c>
      <c r="AJ10" s="148"/>
    </row>
    <row r="11" spans="1:40" s="8" customFormat="1" ht="24" customHeight="1" x14ac:dyDescent="0.2">
      <c r="A11" s="145"/>
      <c r="B11" s="146" t="s">
        <v>10</v>
      </c>
      <c r="C11" s="161">
        <f t="shared" ref="C11:AJ11" si="0">C12+C22+C37+C47+C62+C67+C79+C149+C153+C155</f>
        <v>20055364.026806504</v>
      </c>
      <c r="D11" s="161">
        <f t="shared" si="0"/>
        <v>6275670.1306230025</v>
      </c>
      <c r="E11" s="161">
        <f t="shared" si="0"/>
        <v>9172153.5617320016</v>
      </c>
      <c r="F11" s="161">
        <f t="shared" si="0"/>
        <v>929357.45300000021</v>
      </c>
      <c r="G11" s="161">
        <f t="shared" si="0"/>
        <v>3673917.8814515015</v>
      </c>
      <c r="H11" s="161">
        <f t="shared" si="0"/>
        <v>624059.55368181248</v>
      </c>
      <c r="I11" s="161">
        <f t="shared" si="0"/>
        <v>10086427.597487997</v>
      </c>
      <c r="J11" s="161">
        <f t="shared" si="0"/>
        <v>4323269.3721779995</v>
      </c>
      <c r="K11" s="161">
        <f t="shared" si="0"/>
        <v>1487047.6248560001</v>
      </c>
      <c r="L11" s="161">
        <f t="shared" si="0"/>
        <v>1908576.591</v>
      </c>
      <c r="M11" s="161">
        <f t="shared" si="0"/>
        <v>2367319.0094539998</v>
      </c>
      <c r="N11" s="161">
        <f t="shared" si="0"/>
        <v>26884551.801242009</v>
      </c>
      <c r="O11" s="161">
        <f t="shared" si="0"/>
        <v>9990445.4451540019</v>
      </c>
      <c r="P11" s="161">
        <f t="shared" si="0"/>
        <v>8069376.1832229998</v>
      </c>
      <c r="Q11" s="161">
        <f t="shared" si="0"/>
        <v>1133357.4600019997</v>
      </c>
      <c r="R11" s="161">
        <f t="shared" si="0"/>
        <v>7687107.712863001</v>
      </c>
      <c r="S11" s="161">
        <f t="shared" si="0"/>
        <v>781690.67877732439</v>
      </c>
      <c r="T11" s="161">
        <f t="shared" ca="1" si="0"/>
        <v>9796901.7250886019</v>
      </c>
      <c r="U11" s="161">
        <f t="shared" ca="1" si="0"/>
        <v>9796901.7250886019</v>
      </c>
      <c r="V11" s="161">
        <f t="shared" ca="1" si="0"/>
        <v>9796901.7250886019</v>
      </c>
      <c r="W11" s="161">
        <f t="shared" si="0"/>
        <v>2955227.0829999996</v>
      </c>
      <c r="X11" s="161">
        <f t="shared" si="0"/>
        <v>2967907.9262399995</v>
      </c>
      <c r="Y11" s="161">
        <f t="shared" si="0"/>
        <v>44970226.646313012</v>
      </c>
      <c r="Z11" s="161">
        <f t="shared" si="0"/>
        <v>14246231.756384002</v>
      </c>
      <c r="AA11" s="161">
        <f t="shared" si="0"/>
        <v>21435473.930695005</v>
      </c>
      <c r="AB11" s="161">
        <f t="shared" si="0"/>
        <v>1234058.8759999999</v>
      </c>
      <c r="AC11" s="161">
        <f t="shared" si="0"/>
        <v>8054462.0832340019</v>
      </c>
      <c r="AD11" s="220">
        <f t="shared" si="0"/>
        <v>795985.46216768434</v>
      </c>
      <c r="AE11" s="161">
        <f t="shared" si="0"/>
        <v>17844958.698667996</v>
      </c>
      <c r="AF11" s="161">
        <f t="shared" si="0"/>
        <v>6183795.7111550001</v>
      </c>
      <c r="AG11" s="161">
        <f t="shared" si="0"/>
        <v>1493707.5674560003</v>
      </c>
      <c r="AH11" s="161">
        <f t="shared" si="0"/>
        <v>6850256.8379999995</v>
      </c>
      <c r="AI11" s="161">
        <f t="shared" si="0"/>
        <v>3316786.5820570006</v>
      </c>
      <c r="AJ11" s="161">
        <f t="shared" si="0"/>
        <v>0</v>
      </c>
    </row>
    <row r="12" spans="1:40" s="22" customFormat="1" ht="24" customHeight="1" x14ac:dyDescent="0.2">
      <c r="A12" s="44" t="s">
        <v>11</v>
      </c>
      <c r="B12" s="47" t="s">
        <v>32</v>
      </c>
      <c r="C12" s="162">
        <f t="shared" ref="C12:AI12" si="1">SUM(C13:C152)</f>
        <v>15741717.977829902</v>
      </c>
      <c r="D12" s="162">
        <f t="shared" si="1"/>
        <v>5079748.7817790015</v>
      </c>
      <c r="E12" s="162">
        <f t="shared" si="1"/>
        <v>6995033.0259340014</v>
      </c>
      <c r="F12" s="162">
        <f t="shared" si="1"/>
        <v>789447.21180000005</v>
      </c>
      <c r="G12" s="162">
        <f t="shared" si="1"/>
        <v>2877487.9583169012</v>
      </c>
      <c r="H12" s="162">
        <f t="shared" si="1"/>
        <v>575658.26183011231</v>
      </c>
      <c r="I12" s="162">
        <f t="shared" si="1"/>
        <v>8025383.5912459986</v>
      </c>
      <c r="J12" s="162">
        <f t="shared" si="1"/>
        <v>3539755.9594419994</v>
      </c>
      <c r="K12" s="162">
        <f t="shared" si="1"/>
        <v>1236513.55235</v>
      </c>
      <c r="L12" s="162">
        <f t="shared" si="1"/>
        <v>1495367.5829999999</v>
      </c>
      <c r="M12" s="162">
        <f t="shared" si="1"/>
        <v>1753531.496454</v>
      </c>
      <c r="N12" s="162">
        <f t="shared" si="1"/>
        <v>20506840.490254007</v>
      </c>
      <c r="O12" s="162">
        <f t="shared" si="1"/>
        <v>7706197.0760310013</v>
      </c>
      <c r="P12" s="162">
        <f t="shared" si="1"/>
        <v>6047377.9017230002</v>
      </c>
      <c r="Q12" s="162">
        <f t="shared" si="1"/>
        <v>933593.95122999989</v>
      </c>
      <c r="R12" s="162">
        <f t="shared" si="1"/>
        <v>5819670.5612700004</v>
      </c>
      <c r="S12" s="162">
        <f t="shared" si="1"/>
        <v>714176.84180729557</v>
      </c>
      <c r="T12" s="162">
        <f t="shared" ca="1" si="1"/>
        <v>3773651.792498</v>
      </c>
      <c r="U12" s="162">
        <f t="shared" ca="1" si="1"/>
        <v>1426515.4346690001</v>
      </c>
      <c r="V12" s="162">
        <f t="shared" ca="1" si="1"/>
        <v>567224.50758899993</v>
      </c>
      <c r="W12" s="162">
        <f t="shared" si="1"/>
        <v>2238788.9849999999</v>
      </c>
      <c r="X12" s="162">
        <f t="shared" si="1"/>
        <v>2535804.0742399995</v>
      </c>
      <c r="Y12" s="162">
        <f t="shared" si="1"/>
        <v>32979890.244205013</v>
      </c>
      <c r="Z12" s="162">
        <f t="shared" si="1"/>
        <v>10930039.424694</v>
      </c>
      <c r="AA12" s="162">
        <f t="shared" si="1"/>
        <v>14957011.972695002</v>
      </c>
      <c r="AB12" s="162">
        <f t="shared" si="1"/>
        <v>1006064.4917999998</v>
      </c>
      <c r="AC12" s="162">
        <f t="shared" si="1"/>
        <v>6086774.3550160015</v>
      </c>
      <c r="AD12" s="224">
        <f t="shared" si="1"/>
        <v>699426.99914648803</v>
      </c>
      <c r="AE12" s="162">
        <f t="shared" si="1"/>
        <v>13920475.193667997</v>
      </c>
      <c r="AF12" s="162">
        <f t="shared" si="1"/>
        <v>5022881.4891550001</v>
      </c>
      <c r="AG12" s="162">
        <f t="shared" si="1"/>
        <v>1248352.2634560002</v>
      </c>
      <c r="AH12" s="162">
        <f t="shared" si="1"/>
        <v>5028830.8679999998</v>
      </c>
      <c r="AI12" s="162">
        <f t="shared" si="1"/>
        <v>2620082.5730570005</v>
      </c>
      <c r="AJ12" s="45"/>
      <c r="AK12" s="20"/>
      <c r="AL12" s="20"/>
      <c r="AM12" s="20"/>
      <c r="AN12" s="21"/>
    </row>
    <row r="13" spans="1:40" s="16" customFormat="1" ht="28.15" customHeight="1" x14ac:dyDescent="0.25">
      <c r="A13" s="49">
        <v>1</v>
      </c>
      <c r="B13" s="50" t="s">
        <v>34</v>
      </c>
      <c r="C13" s="165">
        <f>SUM(D13:G13)</f>
        <v>0</v>
      </c>
      <c r="D13" s="163"/>
      <c r="E13" s="163"/>
      <c r="F13" s="163"/>
      <c r="G13" s="163"/>
      <c r="H13" s="166"/>
      <c r="I13" s="163">
        <f t="shared" ref="I13:I77" si="2">SUM(J13:M13)</f>
        <v>0</v>
      </c>
      <c r="J13" s="163"/>
      <c r="K13" s="163"/>
      <c r="L13" s="163"/>
      <c r="M13" s="163"/>
      <c r="N13" s="163">
        <f>SUM(O13:R13)</f>
        <v>0</v>
      </c>
      <c r="O13" s="163"/>
      <c r="P13" s="163"/>
      <c r="Q13" s="163"/>
      <c r="R13" s="163"/>
      <c r="S13" s="163"/>
      <c r="T13" s="163">
        <f t="shared" ref="T13:T77" si="3">SUM(U13:X13)</f>
        <v>0</v>
      </c>
      <c r="U13" s="163"/>
      <c r="V13" s="163"/>
      <c r="W13" s="163"/>
      <c r="X13" s="163"/>
      <c r="Y13" s="163">
        <f>SUM(Z13:AC13)</f>
        <v>0</v>
      </c>
      <c r="Z13" s="163"/>
      <c r="AA13" s="163"/>
      <c r="AB13" s="163"/>
      <c r="AC13" s="163"/>
      <c r="AD13" s="225"/>
      <c r="AE13" s="163">
        <f>SUM(AF13:AI13)</f>
        <v>0</v>
      </c>
      <c r="AF13" s="163"/>
      <c r="AG13" s="163"/>
      <c r="AH13" s="163"/>
      <c r="AI13" s="163"/>
      <c r="AJ13" s="48"/>
      <c r="AK13" s="14"/>
      <c r="AL13" s="14"/>
      <c r="AM13" s="14"/>
      <c r="AN13" s="15"/>
    </row>
    <row r="14" spans="1:40" s="16" customFormat="1" ht="28.15" customHeight="1" x14ac:dyDescent="0.25">
      <c r="A14" s="49">
        <v>2</v>
      </c>
      <c r="B14" s="50" t="s">
        <v>35</v>
      </c>
      <c r="C14" s="165">
        <f t="shared" ref="C14:C78" si="4">SUM(D14:G14)</f>
        <v>63172</v>
      </c>
      <c r="D14" s="163">
        <v>39857</v>
      </c>
      <c r="E14" s="163"/>
      <c r="F14" s="163"/>
      <c r="G14" s="163">
        <v>23315</v>
      </c>
      <c r="H14" s="166"/>
      <c r="I14" s="163">
        <f t="shared" si="2"/>
        <v>26255</v>
      </c>
      <c r="J14" s="163">
        <v>3892</v>
      </c>
      <c r="K14" s="163">
        <v>22184</v>
      </c>
      <c r="L14" s="163"/>
      <c r="M14" s="163">
        <v>179</v>
      </c>
      <c r="N14" s="163">
        <f t="shared" ref="N14:N78" si="5">SUM(O14:R14)</f>
        <v>13362</v>
      </c>
      <c r="O14" s="163">
        <v>8821</v>
      </c>
      <c r="P14" s="163"/>
      <c r="Q14" s="163"/>
      <c r="R14" s="163">
        <v>4541</v>
      </c>
      <c r="S14" s="163"/>
      <c r="T14" s="163">
        <f t="shared" si="3"/>
        <v>10189</v>
      </c>
      <c r="U14" s="163">
        <v>6006</v>
      </c>
      <c r="V14" s="163">
        <v>2434</v>
      </c>
      <c r="W14" s="163"/>
      <c r="X14" s="163">
        <v>1749</v>
      </c>
      <c r="Y14" s="163">
        <f t="shared" ref="Y14:Y78" si="6">SUM(Z14:AC14)</f>
        <v>18615</v>
      </c>
      <c r="Z14" s="163">
        <v>7350</v>
      </c>
      <c r="AA14" s="163"/>
      <c r="AB14" s="163"/>
      <c r="AC14" s="163">
        <v>11265</v>
      </c>
      <c r="AD14" s="225"/>
      <c r="AE14" s="163">
        <f t="shared" ref="AE14:AE78" si="7">SUM(AF14:AI14)</f>
        <v>5876</v>
      </c>
      <c r="AF14" s="163">
        <v>4224</v>
      </c>
      <c r="AG14" s="163">
        <v>1109</v>
      </c>
      <c r="AH14" s="163"/>
      <c r="AI14" s="163">
        <v>543</v>
      </c>
      <c r="AJ14" s="48"/>
      <c r="AK14" s="14"/>
      <c r="AL14" s="14"/>
      <c r="AM14" s="14"/>
      <c r="AN14" s="15"/>
    </row>
    <row r="15" spans="1:40" s="16" customFormat="1" ht="34.9" customHeight="1" x14ac:dyDescent="0.25">
      <c r="A15" s="51">
        <v>3</v>
      </c>
      <c r="B15" s="50" t="s">
        <v>97</v>
      </c>
      <c r="C15" s="165">
        <f t="shared" si="4"/>
        <v>2839507.1219879999</v>
      </c>
      <c r="D15" s="163">
        <v>966554.26115899999</v>
      </c>
      <c r="E15" s="163">
        <v>838064.16862499993</v>
      </c>
      <c r="F15" s="163">
        <v>430863</v>
      </c>
      <c r="G15" s="163">
        <v>604025.69220399996</v>
      </c>
      <c r="H15" s="163">
        <v>432649.84739412874</v>
      </c>
      <c r="I15" s="163">
        <f t="shared" si="2"/>
        <v>2325130.2588590002</v>
      </c>
      <c r="J15" s="163">
        <v>936046.92345300002</v>
      </c>
      <c r="K15" s="163">
        <v>480413.59695199999</v>
      </c>
      <c r="L15" s="163">
        <v>450502.56300000002</v>
      </c>
      <c r="M15" s="163">
        <v>458167.17545400001</v>
      </c>
      <c r="N15" s="163">
        <f t="shared" si="5"/>
        <v>3215086.8697020002</v>
      </c>
      <c r="O15" s="163">
        <v>1115812.4523060001</v>
      </c>
      <c r="P15" s="163">
        <v>986997.74422300002</v>
      </c>
      <c r="Q15" s="163">
        <v>430863</v>
      </c>
      <c r="R15" s="163">
        <v>681413.67317299999</v>
      </c>
      <c r="S15" s="163">
        <v>432816.40494924266</v>
      </c>
      <c r="T15" s="163">
        <f t="shared" si="3"/>
        <v>2365146.1256010002</v>
      </c>
      <c r="U15" s="163">
        <f>430863+'pl 09 cấp huyen'!U12</f>
        <v>981790.5617679999</v>
      </c>
      <c r="V15" s="163">
        <v>493095.78023699997</v>
      </c>
      <c r="W15" s="163">
        <v>439277</v>
      </c>
      <c r="X15" s="163">
        <v>450982.78359599999</v>
      </c>
      <c r="Y15" s="163">
        <f t="shared" si="6"/>
        <v>3857438.4623030005</v>
      </c>
      <c r="Z15" s="163">
        <v>1431459.676914</v>
      </c>
      <c r="AA15" s="163">
        <v>1233069.880195</v>
      </c>
      <c r="AB15" s="163">
        <v>430863</v>
      </c>
      <c r="AC15" s="163">
        <v>762045.90519400011</v>
      </c>
      <c r="AD15" s="225">
        <v>433223.16106225812</v>
      </c>
      <c r="AE15" s="163">
        <f t="shared" si="7"/>
        <v>2501457.2573199999</v>
      </c>
      <c r="AF15" s="163">
        <v>1077964.1255629999</v>
      </c>
      <c r="AG15" s="163">
        <v>504264.3002</v>
      </c>
      <c r="AH15" s="163">
        <v>452663</v>
      </c>
      <c r="AI15" s="163">
        <v>466565.831557</v>
      </c>
      <c r="AJ15" s="48"/>
      <c r="AK15" s="23"/>
      <c r="AL15" s="23"/>
      <c r="AM15" s="24"/>
      <c r="AN15" s="23"/>
    </row>
    <row r="16" spans="1:40" s="16" customFormat="1" ht="19.899999999999999" customHeight="1" x14ac:dyDescent="0.25">
      <c r="A16" s="51">
        <v>4</v>
      </c>
      <c r="B16" s="50" t="s">
        <v>37</v>
      </c>
      <c r="C16" s="165">
        <f t="shared" si="4"/>
        <v>1574792.4969920001</v>
      </c>
      <c r="D16" s="163">
        <v>596130.14575699996</v>
      </c>
      <c r="E16" s="163">
        <v>705459.82181400002</v>
      </c>
      <c r="F16" s="163">
        <v>12789</v>
      </c>
      <c r="G16" s="163">
        <v>260413.52942099998</v>
      </c>
      <c r="H16" s="163">
        <v>15442.44959437977</v>
      </c>
      <c r="I16" s="163">
        <f t="shared" si="2"/>
        <v>20018.708999999999</v>
      </c>
      <c r="J16" s="163">
        <v>3435.1669999999999</v>
      </c>
      <c r="K16" s="163">
        <v>14804.541999999999</v>
      </c>
      <c r="L16" s="163"/>
      <c r="M16" s="163">
        <v>1779</v>
      </c>
      <c r="N16" s="163">
        <f t="shared" si="5"/>
        <v>15810</v>
      </c>
      <c r="O16" s="163">
        <v>12725</v>
      </c>
      <c r="P16" s="163"/>
      <c r="Q16" s="163"/>
      <c r="R16" s="163">
        <v>3085</v>
      </c>
      <c r="S16" s="163"/>
      <c r="T16" s="163">
        <f t="shared" si="3"/>
        <v>10233</v>
      </c>
      <c r="U16" s="163">
        <v>6521</v>
      </c>
      <c r="V16" s="163">
        <v>3535</v>
      </c>
      <c r="W16" s="163"/>
      <c r="X16" s="163">
        <v>177</v>
      </c>
      <c r="Y16" s="163">
        <f t="shared" si="6"/>
        <v>29697</v>
      </c>
      <c r="Z16" s="163">
        <v>19884</v>
      </c>
      <c r="AA16" s="163"/>
      <c r="AB16" s="163"/>
      <c r="AC16" s="163">
        <v>9813</v>
      </c>
      <c r="AD16" s="225"/>
      <c r="AE16" s="163">
        <f t="shared" si="7"/>
        <v>10064</v>
      </c>
      <c r="AF16" s="163">
        <v>6610</v>
      </c>
      <c r="AG16" s="163">
        <v>3454</v>
      </c>
      <c r="AH16" s="163"/>
      <c r="AI16" s="163">
        <v>0</v>
      </c>
      <c r="AJ16" s="48"/>
      <c r="AK16" s="14"/>
      <c r="AL16" s="14"/>
      <c r="AM16" s="14"/>
      <c r="AN16" s="15"/>
    </row>
    <row r="17" spans="1:40" s="16" customFormat="1" ht="19.899999999999999" customHeight="1" x14ac:dyDescent="0.25">
      <c r="A17" s="51">
        <v>5</v>
      </c>
      <c r="B17" s="50" t="s">
        <v>38</v>
      </c>
      <c r="C17" s="165">
        <f t="shared" si="4"/>
        <v>834539.8108049999</v>
      </c>
      <c r="D17" s="163">
        <v>392265.04769199993</v>
      </c>
      <c r="E17" s="163">
        <v>251969.8365</v>
      </c>
      <c r="F17" s="163">
        <v>0</v>
      </c>
      <c r="G17" s="163">
        <v>190304.92661299999</v>
      </c>
      <c r="H17" s="163">
        <v>1663.4486591100492</v>
      </c>
      <c r="I17" s="163">
        <f t="shared" si="2"/>
        <v>410009.80149899999</v>
      </c>
      <c r="J17" s="163">
        <v>347432.594537</v>
      </c>
      <c r="K17" s="163">
        <v>43328.616962</v>
      </c>
      <c r="L17" s="163">
        <v>2748</v>
      </c>
      <c r="M17" s="163">
        <v>16500.59</v>
      </c>
      <c r="N17" s="163">
        <f t="shared" si="5"/>
        <v>930359.59876399999</v>
      </c>
      <c r="O17" s="163">
        <v>440300.86152100004</v>
      </c>
      <c r="P17" s="163">
        <v>269982.63549999997</v>
      </c>
      <c r="Q17" s="163">
        <v>0</v>
      </c>
      <c r="R17" s="163">
        <v>220076.10174300001</v>
      </c>
      <c r="S17" s="163">
        <v>99752.35992751662</v>
      </c>
      <c r="T17" s="163">
        <f t="shared" si="3"/>
        <v>442763.148675</v>
      </c>
      <c r="U17" s="163">
        <f>+'pl 09 cấp huyen'!U14</f>
        <v>375648.75008600001</v>
      </c>
      <c r="V17" s="163">
        <v>54135.874144999994</v>
      </c>
      <c r="W17" s="163">
        <v>2148</v>
      </c>
      <c r="X17" s="163">
        <v>10830.524444000002</v>
      </c>
      <c r="Y17" s="163">
        <f t="shared" si="6"/>
        <v>1861620.0028570001</v>
      </c>
      <c r="Z17" s="163">
        <v>702250.01814300008</v>
      </c>
      <c r="AA17" s="163">
        <v>818713.07949999999</v>
      </c>
      <c r="AB17" s="163">
        <v>0</v>
      </c>
      <c r="AC17" s="163">
        <v>340656.90521400003</v>
      </c>
      <c r="AD17" s="225">
        <v>1983.479896491111</v>
      </c>
      <c r="AE17" s="163">
        <f t="shared" si="7"/>
        <v>570019.19534800004</v>
      </c>
      <c r="AF17" s="163">
        <v>465543.808762</v>
      </c>
      <c r="AG17" s="163">
        <v>66435.142086000007</v>
      </c>
      <c r="AH17" s="163">
        <v>9815</v>
      </c>
      <c r="AI17" s="163">
        <v>28225.244499999997</v>
      </c>
      <c r="AJ17" s="48"/>
      <c r="AK17" s="14"/>
      <c r="AL17" s="14"/>
      <c r="AM17" s="14"/>
      <c r="AN17" s="15"/>
    </row>
    <row r="18" spans="1:40" s="16" customFormat="1" ht="19.899999999999999" customHeight="1" x14ac:dyDescent="0.25">
      <c r="A18" s="51">
        <v>6</v>
      </c>
      <c r="B18" s="50" t="s">
        <v>216</v>
      </c>
      <c r="C18" s="165">
        <f t="shared" si="4"/>
        <v>65673.446326999998</v>
      </c>
      <c r="D18" s="163">
        <v>37433.314324999999</v>
      </c>
      <c r="E18" s="163">
        <v>10157.099999999999</v>
      </c>
      <c r="F18" s="163">
        <v>0</v>
      </c>
      <c r="G18" s="163">
        <v>18083.032002</v>
      </c>
      <c r="H18" s="163">
        <v>560.52898725783132</v>
      </c>
      <c r="I18" s="163">
        <f t="shared" si="2"/>
        <v>45866.570000000007</v>
      </c>
      <c r="J18" s="163">
        <v>33056.635712000003</v>
      </c>
      <c r="K18" s="163">
        <v>6664.5432880000008</v>
      </c>
      <c r="L18" s="163">
        <v>250</v>
      </c>
      <c r="M18" s="163">
        <v>5895.3909999999996</v>
      </c>
      <c r="N18" s="163">
        <f t="shared" si="5"/>
        <v>76570.262556000001</v>
      </c>
      <c r="O18" s="163">
        <v>45140.792954000004</v>
      </c>
      <c r="P18" s="163">
        <v>11421.1</v>
      </c>
      <c r="Q18" s="163">
        <v>0</v>
      </c>
      <c r="R18" s="163">
        <v>20008.369601999999</v>
      </c>
      <c r="S18" s="163">
        <v>709.78177594939768</v>
      </c>
      <c r="T18" s="163">
        <f t="shared" si="3"/>
        <v>54850.318222000002</v>
      </c>
      <c r="U18" s="163">
        <v>38193.322815</v>
      </c>
      <c r="V18" s="163">
        <v>9644.2532069999997</v>
      </c>
      <c r="W18" s="163">
        <v>360</v>
      </c>
      <c r="X18" s="163">
        <v>6652.7422000000006</v>
      </c>
      <c r="Y18" s="163">
        <f t="shared" si="6"/>
        <v>298450.03472699999</v>
      </c>
      <c r="Z18" s="163">
        <v>125925.66813899999</v>
      </c>
      <c r="AA18" s="163">
        <v>137777.29499999998</v>
      </c>
      <c r="AB18" s="163">
        <v>0</v>
      </c>
      <c r="AC18" s="163">
        <v>34747.071587999999</v>
      </c>
      <c r="AD18" s="225">
        <v>776.30736574370712</v>
      </c>
      <c r="AE18" s="163">
        <f t="shared" si="7"/>
        <v>65671.252999999997</v>
      </c>
      <c r="AF18" s="163">
        <v>43928.058829999994</v>
      </c>
      <c r="AG18" s="163">
        <v>12460.10317</v>
      </c>
      <c r="AH18" s="163">
        <v>1450</v>
      </c>
      <c r="AI18" s="163">
        <v>7833.0910000000003</v>
      </c>
      <c r="AJ18" s="48"/>
      <c r="AK18" s="14"/>
      <c r="AL18" s="14"/>
      <c r="AM18" s="14"/>
      <c r="AN18" s="15"/>
    </row>
    <row r="19" spans="1:40" s="16" customFormat="1" ht="19.899999999999999" customHeight="1" x14ac:dyDescent="0.25">
      <c r="A19" s="51">
        <v>7</v>
      </c>
      <c r="B19" s="50" t="s">
        <v>217</v>
      </c>
      <c r="C19" s="165">
        <f t="shared" si="4"/>
        <v>872.8</v>
      </c>
      <c r="D19" s="163">
        <v>375.3</v>
      </c>
      <c r="E19" s="163">
        <v>0</v>
      </c>
      <c r="F19" s="163">
        <v>0</v>
      </c>
      <c r="G19" s="163">
        <v>497.5</v>
      </c>
      <c r="H19" s="163">
        <v>92.424999999999997</v>
      </c>
      <c r="I19" s="163">
        <f t="shared" si="2"/>
        <v>1286.0999999999999</v>
      </c>
      <c r="J19" s="163">
        <v>369.7</v>
      </c>
      <c r="K19" s="163">
        <v>50.8</v>
      </c>
      <c r="L19" s="163">
        <v>0</v>
      </c>
      <c r="M19" s="163">
        <v>865.6</v>
      </c>
      <c r="N19" s="163">
        <f t="shared" si="5"/>
        <v>902.7</v>
      </c>
      <c r="O19" s="163">
        <v>375.3</v>
      </c>
      <c r="P19" s="163">
        <v>0</v>
      </c>
      <c r="Q19" s="163">
        <v>0</v>
      </c>
      <c r="R19" s="163">
        <v>527.4</v>
      </c>
      <c r="S19" s="163">
        <v>96.45</v>
      </c>
      <c r="T19" s="163">
        <f t="shared" si="3"/>
        <v>2385.1999999999998</v>
      </c>
      <c r="U19" s="163">
        <v>385.8</v>
      </c>
      <c r="V19" s="163">
        <v>163.6</v>
      </c>
      <c r="W19" s="163">
        <v>0</v>
      </c>
      <c r="X19" s="163">
        <v>1835.8</v>
      </c>
      <c r="Y19" s="163">
        <f t="shared" si="6"/>
        <v>1282.4000000000001</v>
      </c>
      <c r="Z19" s="163">
        <v>375.3</v>
      </c>
      <c r="AA19" s="163">
        <v>0</v>
      </c>
      <c r="AB19" s="163">
        <v>0</v>
      </c>
      <c r="AC19" s="163">
        <v>907.1</v>
      </c>
      <c r="AD19" s="225">
        <v>209.24285714285713</v>
      </c>
      <c r="AE19" s="163">
        <f t="shared" si="7"/>
        <v>12610.5</v>
      </c>
      <c r="AF19" s="163">
        <v>4145.6000000000004</v>
      </c>
      <c r="AG19" s="163">
        <v>693.9</v>
      </c>
      <c r="AH19" s="163">
        <v>1009</v>
      </c>
      <c r="AI19" s="163">
        <v>6762</v>
      </c>
      <c r="AJ19" s="48"/>
      <c r="AK19" s="14"/>
      <c r="AL19" s="14"/>
      <c r="AM19" s="14"/>
      <c r="AN19" s="15"/>
    </row>
    <row r="20" spans="1:40" s="16" customFormat="1" ht="19.899999999999999" customHeight="1" x14ac:dyDescent="0.25">
      <c r="A20" s="51">
        <v>8</v>
      </c>
      <c r="B20" s="50" t="s">
        <v>185</v>
      </c>
      <c r="C20" s="165">
        <f t="shared" si="4"/>
        <v>70652</v>
      </c>
      <c r="D20" s="163">
        <v>43014</v>
      </c>
      <c r="E20" s="163"/>
      <c r="F20" s="163"/>
      <c r="G20" s="163">
        <v>27638</v>
      </c>
      <c r="H20" s="166"/>
      <c r="I20" s="163">
        <f t="shared" si="2"/>
        <v>20000</v>
      </c>
      <c r="J20" s="163"/>
      <c r="K20" s="163"/>
      <c r="L20" s="163"/>
      <c r="M20" s="163">
        <v>20000</v>
      </c>
      <c r="N20" s="163">
        <f t="shared" si="5"/>
        <v>70151</v>
      </c>
      <c r="O20" s="163">
        <v>42616</v>
      </c>
      <c r="P20" s="163"/>
      <c r="Q20" s="163"/>
      <c r="R20" s="163">
        <v>27535</v>
      </c>
      <c r="S20" s="163"/>
      <c r="T20" s="163">
        <f t="shared" si="3"/>
        <v>861358</v>
      </c>
      <c r="U20" s="163">
        <v>9685</v>
      </c>
      <c r="V20" s="163">
        <v>1569</v>
      </c>
      <c r="W20" s="163"/>
      <c r="X20" s="163">
        <v>850104</v>
      </c>
      <c r="Y20" s="163">
        <f t="shared" si="6"/>
        <v>41688</v>
      </c>
      <c r="Z20" s="163">
        <v>28551</v>
      </c>
      <c r="AA20" s="163"/>
      <c r="AB20" s="163"/>
      <c r="AC20" s="163">
        <v>13137</v>
      </c>
      <c r="AD20" s="225"/>
      <c r="AE20" s="163">
        <f t="shared" si="7"/>
        <v>151011</v>
      </c>
      <c r="AF20" s="163">
        <v>4633</v>
      </c>
      <c r="AG20" s="163">
        <v>834</v>
      </c>
      <c r="AH20" s="163"/>
      <c r="AI20" s="163">
        <v>145544</v>
      </c>
      <c r="AJ20" s="48"/>
      <c r="AK20" s="14"/>
      <c r="AL20" s="14"/>
      <c r="AM20" s="14"/>
      <c r="AN20" s="15"/>
    </row>
    <row r="21" spans="1:40" s="262" customFormat="1" ht="19.899999999999999" customHeight="1" x14ac:dyDescent="0.25">
      <c r="A21" s="264">
        <v>9</v>
      </c>
      <c r="B21" s="265" t="s">
        <v>243</v>
      </c>
      <c r="C21" s="278">
        <v>34046</v>
      </c>
      <c r="D21" s="278">
        <v>13653</v>
      </c>
      <c r="E21" s="278">
        <v>12528</v>
      </c>
      <c r="F21" s="278">
        <v>1255</v>
      </c>
      <c r="G21" s="278">
        <v>6610</v>
      </c>
      <c r="H21" s="278">
        <v>80</v>
      </c>
      <c r="I21" s="278">
        <v>16545</v>
      </c>
      <c r="J21" s="278">
        <v>5261</v>
      </c>
      <c r="K21" s="278">
        <v>584</v>
      </c>
      <c r="L21" s="278"/>
      <c r="M21" s="278">
        <v>10700</v>
      </c>
      <c r="N21" s="278">
        <v>35998</v>
      </c>
      <c r="O21" s="278">
        <v>16543</v>
      </c>
      <c r="P21" s="278">
        <v>12538</v>
      </c>
      <c r="Q21" s="278">
        <v>651</v>
      </c>
      <c r="R21" s="278">
        <v>6266</v>
      </c>
      <c r="S21" s="278">
        <v>86</v>
      </c>
      <c r="T21" s="278">
        <v>7278</v>
      </c>
      <c r="U21" s="278">
        <v>5699</v>
      </c>
      <c r="V21" s="278">
        <v>1579</v>
      </c>
      <c r="W21" s="278"/>
      <c r="X21" s="278"/>
      <c r="Y21" s="278">
        <v>39355</v>
      </c>
      <c r="Z21" s="278">
        <v>17751</v>
      </c>
      <c r="AA21" s="278">
        <v>12538</v>
      </c>
      <c r="AB21" s="278">
        <v>1100</v>
      </c>
      <c r="AC21" s="278">
        <v>7966</v>
      </c>
      <c r="AD21" s="279">
        <v>93</v>
      </c>
      <c r="AE21" s="278">
        <v>7714</v>
      </c>
      <c r="AF21" s="278">
        <v>5125</v>
      </c>
      <c r="AG21" s="278">
        <v>1010</v>
      </c>
      <c r="AH21" s="278"/>
      <c r="AI21" s="278">
        <v>1579</v>
      </c>
      <c r="AJ21" s="278"/>
      <c r="AK21" s="280"/>
      <c r="AL21" s="280"/>
      <c r="AM21" s="280"/>
      <c r="AN21" s="261"/>
    </row>
    <row r="22" spans="1:40" s="22" customFormat="1" ht="27.75" customHeight="1" x14ac:dyDescent="0.2">
      <c r="A22" s="44" t="s">
        <v>13</v>
      </c>
      <c r="B22" s="47" t="s">
        <v>33</v>
      </c>
      <c r="C22" s="162">
        <f t="shared" si="4"/>
        <v>232180.22874999998</v>
      </c>
      <c r="D22" s="162">
        <f>SUM(D23:D36)</f>
        <v>91719.553</v>
      </c>
      <c r="E22" s="162">
        <f>SUM(E23:E36)</f>
        <v>43591.534999999996</v>
      </c>
      <c r="F22" s="162">
        <f>SUM(F23:F36)</f>
        <v>5973.9</v>
      </c>
      <c r="G22" s="162">
        <f>SUM(G23:G36)</f>
        <v>90895.240749999997</v>
      </c>
      <c r="H22" s="162">
        <f>SUM(H23:H36)</f>
        <v>352.86130873863635</v>
      </c>
      <c r="I22" s="163">
        <f t="shared" si="2"/>
        <v>96059</v>
      </c>
      <c r="J22" s="164">
        <f>+J25+J23+J24+J31+J32+J33+J35+J36</f>
        <v>31983</v>
      </c>
      <c r="K22" s="164">
        <f>+K25+K23+K24+K31+K32+K33+K35+K36</f>
        <v>42484</v>
      </c>
      <c r="L22" s="164">
        <f>+L25+L23+L24+L31+L32+L33+L35+L36</f>
        <v>0</v>
      </c>
      <c r="M22" s="164">
        <f>+M25+M23+M24+M31+M32+M33+M35+M36</f>
        <v>21592</v>
      </c>
      <c r="N22" s="163">
        <f t="shared" si="5"/>
        <v>365195.39555999998</v>
      </c>
      <c r="O22" s="164">
        <f t="shared" ref="O22:S22" si="8">SUM(O23:O36)</f>
        <v>116085.38813000001</v>
      </c>
      <c r="P22" s="164">
        <f t="shared" si="8"/>
        <v>121126.08500000001</v>
      </c>
      <c r="Q22" s="164">
        <f t="shared" si="8"/>
        <v>5973.9</v>
      </c>
      <c r="R22" s="164">
        <f t="shared" si="8"/>
        <v>122010.02243</v>
      </c>
      <c r="S22" s="164">
        <f t="shared" si="8"/>
        <v>780.36952818610428</v>
      </c>
      <c r="T22" s="163">
        <f t="shared" si="3"/>
        <v>88117</v>
      </c>
      <c r="U22" s="164">
        <f>+U23+U24+U25+U31+U32+U33+U35+U36</f>
        <v>39420</v>
      </c>
      <c r="V22" s="164">
        <f>+V23+V24+V25+V31+V32+V33+V35+V36</f>
        <v>31453</v>
      </c>
      <c r="W22" s="164">
        <f>+W23+W24+W25+W31+W32+W33+W35+W36</f>
        <v>0</v>
      </c>
      <c r="X22" s="164">
        <f>+X23+X24+X25+X31+X32+X33+X35+X36</f>
        <v>17244</v>
      </c>
      <c r="Y22" s="163">
        <f t="shared" si="6"/>
        <v>511977.38517600001</v>
      </c>
      <c r="Z22" s="164">
        <f t="shared" ref="Z22:AD22" si="9">SUM(Z23:Z36)</f>
        <v>152110.25892599998</v>
      </c>
      <c r="AA22" s="164">
        <f t="shared" si="9"/>
        <v>197005.95</v>
      </c>
      <c r="AB22" s="164">
        <f t="shared" si="9"/>
        <v>5552.9</v>
      </c>
      <c r="AC22" s="164">
        <f t="shared" si="9"/>
        <v>157308.27625</v>
      </c>
      <c r="AD22" s="226">
        <f t="shared" si="9"/>
        <v>948.60606515517236</v>
      </c>
      <c r="AE22" s="163">
        <f t="shared" si="7"/>
        <v>61082</v>
      </c>
      <c r="AF22" s="164">
        <f>+AF23+AF24+AF25+AF31+AF32+AF33+AF36</f>
        <v>33207</v>
      </c>
      <c r="AG22" s="164">
        <f>+AG23+AG24+AG25+AG31+AG32+AG33+AG36</f>
        <v>9965</v>
      </c>
      <c r="AH22" s="164">
        <f>+AH23+AH24+AH25+AH31+AH32+AH33+AH36</f>
        <v>0</v>
      </c>
      <c r="AI22" s="164">
        <f>+AI23+AI24+AI25+AI31+AI32+AI33+AI36</f>
        <v>17910</v>
      </c>
      <c r="AJ22" s="45"/>
      <c r="AK22" s="20"/>
      <c r="AL22" s="20"/>
      <c r="AM22" s="20"/>
      <c r="AN22" s="21"/>
    </row>
    <row r="23" spans="1:40" s="16" customFormat="1" ht="28.15" customHeight="1" x14ac:dyDescent="0.25">
      <c r="A23" s="49">
        <v>1</v>
      </c>
      <c r="B23" s="50" t="s">
        <v>39</v>
      </c>
      <c r="C23" s="165">
        <f t="shared" si="4"/>
        <v>0</v>
      </c>
      <c r="D23" s="166"/>
      <c r="E23" s="166"/>
      <c r="F23" s="166"/>
      <c r="G23" s="166"/>
      <c r="H23" s="166"/>
      <c r="I23" s="163">
        <f t="shared" si="2"/>
        <v>0</v>
      </c>
      <c r="J23" s="163"/>
      <c r="K23" s="163"/>
      <c r="L23" s="163"/>
      <c r="M23" s="163"/>
      <c r="N23" s="163">
        <f t="shared" si="5"/>
        <v>0</v>
      </c>
      <c r="O23" s="163"/>
      <c r="P23" s="163"/>
      <c r="Q23" s="163"/>
      <c r="R23" s="163"/>
      <c r="S23" s="163"/>
      <c r="T23" s="163">
        <f t="shared" si="3"/>
        <v>0</v>
      </c>
      <c r="U23" s="163"/>
      <c r="V23" s="163"/>
      <c r="W23" s="163"/>
      <c r="X23" s="163"/>
      <c r="Y23" s="163">
        <f t="shared" si="6"/>
        <v>0</v>
      </c>
      <c r="Z23" s="163"/>
      <c r="AA23" s="163"/>
      <c r="AB23" s="163"/>
      <c r="AC23" s="163"/>
      <c r="AD23" s="225"/>
      <c r="AE23" s="163">
        <f t="shared" si="7"/>
        <v>0</v>
      </c>
      <c r="AF23" s="163"/>
      <c r="AG23" s="163"/>
      <c r="AH23" s="163"/>
      <c r="AI23" s="163"/>
      <c r="AJ23" s="48"/>
      <c r="AK23" s="14"/>
      <c r="AL23" s="14"/>
      <c r="AM23" s="14"/>
      <c r="AN23" s="15"/>
    </row>
    <row r="24" spans="1:40" s="16" customFormat="1" ht="28.15" customHeight="1" x14ac:dyDescent="0.25">
      <c r="A24" s="49">
        <v>2</v>
      </c>
      <c r="B24" s="50" t="s">
        <v>40</v>
      </c>
      <c r="C24" s="165">
        <f t="shared" si="4"/>
        <v>0</v>
      </c>
      <c r="D24" s="166"/>
      <c r="E24" s="166"/>
      <c r="F24" s="166"/>
      <c r="G24" s="166"/>
      <c r="H24" s="166"/>
      <c r="I24" s="163">
        <f t="shared" si="2"/>
        <v>0</v>
      </c>
      <c r="J24" s="163"/>
      <c r="K24" s="163"/>
      <c r="L24" s="163"/>
      <c r="M24" s="163"/>
      <c r="N24" s="163">
        <f t="shared" si="5"/>
        <v>0</v>
      </c>
      <c r="O24" s="163"/>
      <c r="P24" s="163"/>
      <c r="Q24" s="163"/>
      <c r="R24" s="163"/>
      <c r="S24" s="163"/>
      <c r="T24" s="163">
        <f t="shared" si="3"/>
        <v>3684</v>
      </c>
      <c r="U24" s="163">
        <v>1884</v>
      </c>
      <c r="V24" s="163"/>
      <c r="W24" s="163"/>
      <c r="X24" s="163">
        <v>1800</v>
      </c>
      <c r="Y24" s="163">
        <f t="shared" si="6"/>
        <v>0</v>
      </c>
      <c r="Z24" s="163"/>
      <c r="AA24" s="163"/>
      <c r="AB24" s="163"/>
      <c r="AC24" s="163"/>
      <c r="AD24" s="225"/>
      <c r="AE24" s="163">
        <f t="shared" si="7"/>
        <v>0</v>
      </c>
      <c r="AF24" s="163"/>
      <c r="AG24" s="163"/>
      <c r="AH24" s="163"/>
      <c r="AI24" s="163"/>
      <c r="AJ24" s="48"/>
      <c r="AK24" s="14"/>
      <c r="AL24" s="14"/>
      <c r="AM24" s="14"/>
      <c r="AN24" s="15"/>
    </row>
    <row r="25" spans="1:40" s="16" customFormat="1" ht="28.15" customHeight="1" x14ac:dyDescent="0.25">
      <c r="A25" s="49">
        <v>3</v>
      </c>
      <c r="B25" s="50" t="s">
        <v>41</v>
      </c>
      <c r="C25" s="165">
        <f t="shared" si="4"/>
        <v>0</v>
      </c>
      <c r="D25" s="166"/>
      <c r="E25" s="166"/>
      <c r="F25" s="166"/>
      <c r="G25" s="166"/>
      <c r="H25" s="166"/>
      <c r="I25" s="163">
        <f t="shared" si="2"/>
        <v>26057</v>
      </c>
      <c r="J25" s="163">
        <f>SUM(J26:J30)</f>
        <v>7036</v>
      </c>
      <c r="K25" s="163">
        <f>SUM(K26:K30)</f>
        <v>17954</v>
      </c>
      <c r="L25" s="163">
        <f>SUM(L26:L30)</f>
        <v>0</v>
      </c>
      <c r="M25" s="163">
        <f>SUM(M26:M30)</f>
        <v>1067</v>
      </c>
      <c r="N25" s="163">
        <f t="shared" si="5"/>
        <v>0</v>
      </c>
      <c r="O25" s="163"/>
      <c r="P25" s="163"/>
      <c r="Q25" s="163"/>
      <c r="R25" s="163"/>
      <c r="S25" s="163"/>
      <c r="T25" s="163">
        <f t="shared" si="3"/>
        <v>66437</v>
      </c>
      <c r="U25" s="163">
        <f>SUM(U26:U30)</f>
        <v>29953</v>
      </c>
      <c r="V25" s="163">
        <f>SUM(V26:V30)</f>
        <v>24640</v>
      </c>
      <c r="W25" s="163">
        <f>SUM(W26:W30)</f>
        <v>0</v>
      </c>
      <c r="X25" s="163">
        <f>SUM(X26:X30)</f>
        <v>11844</v>
      </c>
      <c r="Y25" s="163">
        <f t="shared" si="6"/>
        <v>0</v>
      </c>
      <c r="Z25" s="163"/>
      <c r="AA25" s="163"/>
      <c r="AB25" s="163"/>
      <c r="AC25" s="163"/>
      <c r="AD25" s="225"/>
      <c r="AE25" s="163">
        <f t="shared" si="7"/>
        <v>49032</v>
      </c>
      <c r="AF25" s="163">
        <f>SUM(AF26:AF30)</f>
        <v>28082</v>
      </c>
      <c r="AG25" s="163">
        <f>SUM(AG26:AG30)</f>
        <v>8810</v>
      </c>
      <c r="AH25" s="163">
        <f>SUM(AH26:AH30)</f>
        <v>0</v>
      </c>
      <c r="AI25" s="163">
        <f>SUM(AI26:AI30)</f>
        <v>12140</v>
      </c>
      <c r="AJ25" s="48"/>
      <c r="AK25" s="14"/>
      <c r="AL25" s="14"/>
      <c r="AM25" s="14"/>
      <c r="AN25" s="15"/>
    </row>
    <row r="26" spans="1:40" s="16" customFormat="1" ht="28.35" customHeight="1" x14ac:dyDescent="0.25">
      <c r="A26" s="49">
        <v>3.1</v>
      </c>
      <c r="B26" s="50" t="s">
        <v>166</v>
      </c>
      <c r="C26" s="165">
        <f t="shared" si="4"/>
        <v>0</v>
      </c>
      <c r="D26" s="166"/>
      <c r="E26" s="166"/>
      <c r="F26" s="166"/>
      <c r="G26" s="166"/>
      <c r="H26" s="166"/>
      <c r="I26" s="163">
        <f t="shared" si="2"/>
        <v>0</v>
      </c>
      <c r="J26" s="163"/>
      <c r="K26" s="163"/>
      <c r="L26" s="163"/>
      <c r="M26" s="163"/>
      <c r="N26" s="163">
        <f t="shared" si="5"/>
        <v>0</v>
      </c>
      <c r="O26" s="163"/>
      <c r="P26" s="163"/>
      <c r="Q26" s="163"/>
      <c r="R26" s="163"/>
      <c r="S26" s="163"/>
      <c r="T26" s="163">
        <f t="shared" si="3"/>
        <v>21630</v>
      </c>
      <c r="U26" s="163">
        <v>14137</v>
      </c>
      <c r="V26" s="163">
        <v>6674</v>
      </c>
      <c r="W26" s="163"/>
      <c r="X26" s="163">
        <v>819</v>
      </c>
      <c r="Y26" s="163">
        <f t="shared" si="6"/>
        <v>0</v>
      </c>
      <c r="Z26" s="163"/>
      <c r="AA26" s="163"/>
      <c r="AB26" s="163"/>
      <c r="AC26" s="163"/>
      <c r="AD26" s="225"/>
      <c r="AE26" s="163">
        <f t="shared" si="7"/>
        <v>9600</v>
      </c>
      <c r="AF26" s="163">
        <v>8930</v>
      </c>
      <c r="AG26" s="163"/>
      <c r="AH26" s="163"/>
      <c r="AI26" s="163">
        <v>670</v>
      </c>
      <c r="AJ26" s="48"/>
      <c r="AK26" s="14"/>
      <c r="AL26" s="14"/>
      <c r="AM26" s="14"/>
      <c r="AN26" s="15"/>
    </row>
    <row r="27" spans="1:40" s="16" customFormat="1" ht="28.15" customHeight="1" x14ac:dyDescent="0.25">
      <c r="A27" s="49">
        <v>3.2</v>
      </c>
      <c r="B27" s="50" t="s">
        <v>167</v>
      </c>
      <c r="C27" s="165">
        <f t="shared" si="4"/>
        <v>0</v>
      </c>
      <c r="D27" s="166"/>
      <c r="E27" s="166"/>
      <c r="F27" s="166"/>
      <c r="G27" s="166"/>
      <c r="H27" s="166"/>
      <c r="I27" s="163">
        <f t="shared" si="2"/>
        <v>0</v>
      </c>
      <c r="J27" s="163"/>
      <c r="K27" s="163"/>
      <c r="L27" s="163"/>
      <c r="M27" s="163"/>
      <c r="N27" s="163">
        <f t="shared" si="5"/>
        <v>0</v>
      </c>
      <c r="O27" s="163"/>
      <c r="P27" s="163"/>
      <c r="Q27" s="163"/>
      <c r="R27" s="163"/>
      <c r="S27" s="163"/>
      <c r="T27" s="163">
        <f t="shared" si="3"/>
        <v>3960</v>
      </c>
      <c r="U27" s="163"/>
      <c r="V27" s="163"/>
      <c r="W27" s="163"/>
      <c r="X27" s="163">
        <v>3960</v>
      </c>
      <c r="Y27" s="163">
        <f t="shared" si="6"/>
        <v>0</v>
      </c>
      <c r="Z27" s="163"/>
      <c r="AA27" s="163"/>
      <c r="AB27" s="163"/>
      <c r="AC27" s="163"/>
      <c r="AD27" s="225"/>
      <c r="AE27" s="163">
        <f t="shared" si="7"/>
        <v>3370</v>
      </c>
      <c r="AF27" s="163"/>
      <c r="AG27" s="163"/>
      <c r="AH27" s="163"/>
      <c r="AI27" s="163">
        <v>3370</v>
      </c>
      <c r="AJ27" s="48"/>
      <c r="AK27" s="14"/>
      <c r="AL27" s="14"/>
      <c r="AM27" s="14"/>
      <c r="AN27" s="15"/>
    </row>
    <row r="28" spans="1:40" s="16" customFormat="1" ht="26.25" customHeight="1" x14ac:dyDescent="0.25">
      <c r="A28" s="49">
        <v>3.3</v>
      </c>
      <c r="B28" s="50" t="s">
        <v>197</v>
      </c>
      <c r="C28" s="165">
        <f t="shared" si="4"/>
        <v>29924</v>
      </c>
      <c r="D28" s="163">
        <v>10443</v>
      </c>
      <c r="E28" s="163">
        <v>7964</v>
      </c>
      <c r="F28" s="163">
        <v>979</v>
      </c>
      <c r="G28" s="163">
        <f>29924-SUM(D28:F28)</f>
        <v>10538</v>
      </c>
      <c r="H28" s="163">
        <v>4</v>
      </c>
      <c r="I28" s="163">
        <f t="shared" si="2"/>
        <v>7730</v>
      </c>
      <c r="J28" s="163">
        <v>2890</v>
      </c>
      <c r="K28" s="163">
        <v>4840</v>
      </c>
      <c r="L28" s="163"/>
      <c r="M28" s="163"/>
      <c r="N28" s="163">
        <f t="shared" si="5"/>
        <v>35152</v>
      </c>
      <c r="O28" s="163">
        <v>11479</v>
      </c>
      <c r="P28" s="163">
        <v>7964</v>
      </c>
      <c r="Q28" s="163">
        <v>979</v>
      </c>
      <c r="R28" s="163">
        <f>35152-SUM(O28:Q28)</f>
        <v>14730</v>
      </c>
      <c r="S28" s="163">
        <v>5</v>
      </c>
      <c r="T28" s="163">
        <f t="shared" si="3"/>
        <v>7612</v>
      </c>
      <c r="U28" s="163">
        <v>4572</v>
      </c>
      <c r="V28" s="163">
        <v>1510</v>
      </c>
      <c r="W28" s="163"/>
      <c r="X28" s="163">
        <v>1530</v>
      </c>
      <c r="Y28" s="163">
        <f t="shared" si="6"/>
        <v>68306</v>
      </c>
      <c r="Z28" s="163">
        <v>19552</v>
      </c>
      <c r="AA28" s="163">
        <v>16860</v>
      </c>
      <c r="AB28" s="163">
        <v>979</v>
      </c>
      <c r="AC28" s="163">
        <v>30915</v>
      </c>
      <c r="AD28" s="225">
        <v>7</v>
      </c>
      <c r="AE28" s="163">
        <f t="shared" si="7"/>
        <v>9359</v>
      </c>
      <c r="AF28" s="163">
        <v>3875</v>
      </c>
      <c r="AG28" s="163">
        <v>2384</v>
      </c>
      <c r="AH28" s="163"/>
      <c r="AI28" s="163">
        <v>3100</v>
      </c>
      <c r="AJ28" s="48"/>
      <c r="AK28" s="14"/>
      <c r="AL28" s="14"/>
      <c r="AM28" s="14"/>
      <c r="AN28" s="15"/>
    </row>
    <row r="29" spans="1:40" s="16" customFormat="1" ht="28.15" customHeight="1" x14ac:dyDescent="0.25">
      <c r="A29" s="49">
        <v>3.4</v>
      </c>
      <c r="B29" s="50" t="s">
        <v>168</v>
      </c>
      <c r="C29" s="165">
        <f t="shared" si="4"/>
        <v>0</v>
      </c>
      <c r="D29" s="166"/>
      <c r="E29" s="166"/>
      <c r="F29" s="166"/>
      <c r="G29" s="166"/>
      <c r="H29" s="166"/>
      <c r="I29" s="163">
        <f t="shared" si="2"/>
        <v>0</v>
      </c>
      <c r="J29" s="163"/>
      <c r="K29" s="163"/>
      <c r="L29" s="163"/>
      <c r="M29" s="163"/>
      <c r="N29" s="163">
        <f t="shared" si="5"/>
        <v>0</v>
      </c>
      <c r="O29" s="163"/>
      <c r="P29" s="163"/>
      <c r="Q29" s="163"/>
      <c r="R29" s="163"/>
      <c r="S29" s="163"/>
      <c r="T29" s="163">
        <f t="shared" si="3"/>
        <v>12993</v>
      </c>
      <c r="U29" s="163">
        <v>7192</v>
      </c>
      <c r="V29" s="163">
        <v>4451</v>
      </c>
      <c r="W29" s="163"/>
      <c r="X29" s="163">
        <v>1350</v>
      </c>
      <c r="Y29" s="163">
        <f t="shared" si="6"/>
        <v>0</v>
      </c>
      <c r="Z29" s="163"/>
      <c r="AA29" s="163"/>
      <c r="AB29" s="163"/>
      <c r="AC29" s="163"/>
      <c r="AD29" s="225"/>
      <c r="AE29" s="163">
        <f t="shared" si="7"/>
        <v>13214</v>
      </c>
      <c r="AF29" s="163">
        <v>8651</v>
      </c>
      <c r="AG29" s="163">
        <v>2063</v>
      </c>
      <c r="AH29" s="163"/>
      <c r="AI29" s="163">
        <v>2500</v>
      </c>
      <c r="AJ29" s="48"/>
      <c r="AK29" s="14"/>
      <c r="AL29" s="14"/>
      <c r="AM29" s="14"/>
      <c r="AN29" s="15"/>
    </row>
    <row r="30" spans="1:40" s="16" customFormat="1" ht="28.15" customHeight="1" x14ac:dyDescent="0.25">
      <c r="A30" s="49">
        <v>3.5</v>
      </c>
      <c r="B30" s="50" t="s">
        <v>169</v>
      </c>
      <c r="C30" s="165">
        <f t="shared" si="4"/>
        <v>97435</v>
      </c>
      <c r="D30" s="165">
        <v>30683</v>
      </c>
      <c r="E30" s="165"/>
      <c r="F30" s="165">
        <v>3514</v>
      </c>
      <c r="G30" s="165">
        <v>63238</v>
      </c>
      <c r="H30" s="166">
        <v>5.8</v>
      </c>
      <c r="I30" s="163">
        <f t="shared" si="2"/>
        <v>18327</v>
      </c>
      <c r="J30" s="163">
        <v>4146</v>
      </c>
      <c r="K30" s="163">
        <v>13114</v>
      </c>
      <c r="L30" s="163"/>
      <c r="M30" s="163">
        <v>1067</v>
      </c>
      <c r="N30" s="163">
        <f t="shared" si="5"/>
        <v>125008</v>
      </c>
      <c r="O30" s="163">
        <v>47570</v>
      </c>
      <c r="P30" s="163"/>
      <c r="Q30" s="163">
        <v>3514</v>
      </c>
      <c r="R30" s="163">
        <v>73924</v>
      </c>
      <c r="S30" s="167">
        <v>4.2</v>
      </c>
      <c r="T30" s="163">
        <f t="shared" si="3"/>
        <v>20242</v>
      </c>
      <c r="U30" s="163">
        <v>4052</v>
      </c>
      <c r="V30" s="163">
        <v>12005</v>
      </c>
      <c r="W30" s="163"/>
      <c r="X30" s="163">
        <v>4185</v>
      </c>
      <c r="Y30" s="163">
        <f t="shared" si="6"/>
        <v>150753</v>
      </c>
      <c r="Z30" s="163">
        <v>53806</v>
      </c>
      <c r="AA30" s="163"/>
      <c r="AB30" s="163">
        <v>3014</v>
      </c>
      <c r="AC30" s="163">
        <v>93933</v>
      </c>
      <c r="AD30" s="227">
        <v>7.4</v>
      </c>
      <c r="AE30" s="163">
        <f t="shared" si="7"/>
        <v>13489</v>
      </c>
      <c r="AF30" s="163">
        <v>6626</v>
      </c>
      <c r="AG30" s="163">
        <v>4363</v>
      </c>
      <c r="AH30" s="163"/>
      <c r="AI30" s="163">
        <v>2500</v>
      </c>
      <c r="AJ30" s="48"/>
      <c r="AK30" s="14"/>
      <c r="AL30" s="14"/>
      <c r="AM30" s="14"/>
      <c r="AN30" s="15"/>
    </row>
    <row r="31" spans="1:40" s="16" customFormat="1" ht="34.9" customHeight="1" x14ac:dyDescent="0.25">
      <c r="A31" s="49">
        <v>4</v>
      </c>
      <c r="B31" s="50" t="s">
        <v>42</v>
      </c>
      <c r="C31" s="165">
        <f t="shared" si="4"/>
        <v>0</v>
      </c>
      <c r="D31" s="166"/>
      <c r="E31" s="166"/>
      <c r="F31" s="166"/>
      <c r="G31" s="166"/>
      <c r="H31" s="166"/>
      <c r="I31" s="163">
        <f t="shared" si="2"/>
        <v>0</v>
      </c>
      <c r="J31" s="163"/>
      <c r="K31" s="163"/>
      <c r="L31" s="163"/>
      <c r="M31" s="163"/>
      <c r="N31" s="163">
        <f t="shared" si="5"/>
        <v>0</v>
      </c>
      <c r="O31" s="163"/>
      <c r="P31" s="163"/>
      <c r="Q31" s="163"/>
      <c r="R31" s="163"/>
      <c r="S31" s="163"/>
      <c r="T31" s="163">
        <f t="shared" si="3"/>
        <v>0</v>
      </c>
      <c r="U31" s="163"/>
      <c r="V31" s="163"/>
      <c r="W31" s="163"/>
      <c r="X31" s="163"/>
      <c r="Y31" s="163">
        <f t="shared" si="6"/>
        <v>0</v>
      </c>
      <c r="Z31" s="163"/>
      <c r="AA31" s="163"/>
      <c r="AB31" s="163"/>
      <c r="AC31" s="163"/>
      <c r="AD31" s="225"/>
      <c r="AE31" s="163">
        <f t="shared" si="7"/>
        <v>0</v>
      </c>
      <c r="AF31" s="163"/>
      <c r="AG31" s="163"/>
      <c r="AH31" s="163"/>
      <c r="AI31" s="163">
        <v>0</v>
      </c>
      <c r="AJ31" s="48"/>
      <c r="AK31" s="23"/>
      <c r="AL31" s="23"/>
      <c r="AM31" s="24"/>
      <c r="AN31" s="23"/>
    </row>
    <row r="32" spans="1:40" s="16" customFormat="1" ht="18" customHeight="1" x14ac:dyDescent="0.25">
      <c r="A32" s="49">
        <v>5</v>
      </c>
      <c r="B32" s="50" t="s">
        <v>170</v>
      </c>
      <c r="C32" s="165">
        <f t="shared" si="4"/>
        <v>0</v>
      </c>
      <c r="D32" s="166"/>
      <c r="E32" s="166"/>
      <c r="F32" s="166"/>
      <c r="G32" s="166"/>
      <c r="H32" s="166"/>
      <c r="I32" s="163">
        <f t="shared" si="2"/>
        <v>0</v>
      </c>
      <c r="J32" s="163"/>
      <c r="K32" s="163"/>
      <c r="L32" s="163"/>
      <c r="M32" s="163"/>
      <c r="N32" s="163">
        <f t="shared" si="5"/>
        <v>0</v>
      </c>
      <c r="O32" s="163"/>
      <c r="P32" s="163"/>
      <c r="Q32" s="163"/>
      <c r="R32" s="163"/>
      <c r="S32" s="163"/>
      <c r="T32" s="163">
        <f t="shared" si="3"/>
        <v>0</v>
      </c>
      <c r="U32" s="163"/>
      <c r="V32" s="163"/>
      <c r="W32" s="163"/>
      <c r="X32" s="163"/>
      <c r="Y32" s="163">
        <f t="shared" si="6"/>
        <v>0</v>
      </c>
      <c r="Z32" s="163"/>
      <c r="AA32" s="163"/>
      <c r="AB32" s="163"/>
      <c r="AC32" s="163"/>
      <c r="AD32" s="225"/>
      <c r="AE32" s="163">
        <f t="shared" si="7"/>
        <v>0</v>
      </c>
      <c r="AF32" s="163"/>
      <c r="AG32" s="163"/>
      <c r="AH32" s="163"/>
      <c r="AI32" s="163"/>
      <c r="AJ32" s="48"/>
      <c r="AK32" s="14"/>
      <c r="AL32" s="14"/>
      <c r="AM32" s="25"/>
      <c r="AN32" s="15"/>
    </row>
    <row r="33" spans="1:40" s="16" customFormat="1" ht="40.5" customHeight="1" x14ac:dyDescent="0.25">
      <c r="A33" s="49">
        <v>6</v>
      </c>
      <c r="B33" s="50" t="s">
        <v>43</v>
      </c>
      <c r="C33" s="165">
        <f t="shared" si="4"/>
        <v>0</v>
      </c>
      <c r="D33" s="166"/>
      <c r="E33" s="166"/>
      <c r="F33" s="166"/>
      <c r="G33" s="166"/>
      <c r="H33" s="166"/>
      <c r="I33" s="163">
        <f t="shared" si="2"/>
        <v>17319</v>
      </c>
      <c r="J33" s="163">
        <v>5261</v>
      </c>
      <c r="K33" s="163">
        <v>1208</v>
      </c>
      <c r="L33" s="163"/>
      <c r="M33" s="163">
        <v>10850</v>
      </c>
      <c r="N33" s="163">
        <f t="shared" si="5"/>
        <v>0</v>
      </c>
      <c r="O33" s="163"/>
      <c r="P33" s="163"/>
      <c r="Q33" s="163"/>
      <c r="R33" s="163"/>
      <c r="S33" s="163"/>
      <c r="T33" s="163">
        <f t="shared" si="3"/>
        <v>12512</v>
      </c>
      <c r="U33" s="163">
        <v>5699</v>
      </c>
      <c r="V33" s="163">
        <v>6813</v>
      </c>
      <c r="W33" s="163"/>
      <c r="X33" s="163"/>
      <c r="Y33" s="163">
        <f t="shared" si="6"/>
        <v>0</v>
      </c>
      <c r="Z33" s="163"/>
      <c r="AA33" s="163"/>
      <c r="AB33" s="163"/>
      <c r="AC33" s="163"/>
      <c r="AD33" s="225"/>
      <c r="AE33" s="163">
        <f t="shared" si="7"/>
        <v>12050</v>
      </c>
      <c r="AF33" s="163">
        <v>5125</v>
      </c>
      <c r="AG33" s="163">
        <v>1155</v>
      </c>
      <c r="AH33" s="163"/>
      <c r="AI33" s="163">
        <v>5770</v>
      </c>
      <c r="AJ33" s="48"/>
      <c r="AK33" s="14"/>
      <c r="AL33" s="14"/>
      <c r="AM33" s="14"/>
      <c r="AN33" s="15"/>
    </row>
    <row r="34" spans="1:40" s="16" customFormat="1" ht="40.5" customHeight="1" x14ac:dyDescent="0.25">
      <c r="A34" s="49">
        <v>7</v>
      </c>
      <c r="B34" s="50" t="s">
        <v>218</v>
      </c>
      <c r="C34" s="165">
        <f t="shared" si="4"/>
        <v>104821.22874999998</v>
      </c>
      <c r="D34" s="166">
        <v>50593.553</v>
      </c>
      <c r="E34" s="166">
        <v>35627.534999999996</v>
      </c>
      <c r="F34" s="166">
        <v>1480.9</v>
      </c>
      <c r="G34" s="166">
        <v>17119.240750000001</v>
      </c>
      <c r="H34" s="166">
        <v>343.06130873863634</v>
      </c>
      <c r="I34" s="163">
        <f t="shared" si="2"/>
        <v>9074.3349999999991</v>
      </c>
      <c r="J34" s="163">
        <v>6473.866</v>
      </c>
      <c r="K34" s="163">
        <v>2009.4690000000001</v>
      </c>
      <c r="L34" s="163">
        <v>0</v>
      </c>
      <c r="M34" s="163">
        <v>591</v>
      </c>
      <c r="N34" s="163">
        <f t="shared" si="5"/>
        <v>205035.39555999998</v>
      </c>
      <c r="O34" s="163">
        <v>57036.388129999999</v>
      </c>
      <c r="P34" s="163">
        <v>113162.08500000001</v>
      </c>
      <c r="Q34" s="163">
        <v>1480.9</v>
      </c>
      <c r="R34" s="163">
        <v>33356.022429999997</v>
      </c>
      <c r="S34" s="163">
        <v>771.16952818610423</v>
      </c>
      <c r="T34" s="163">
        <f t="shared" si="3"/>
        <v>22839.301132000004</v>
      </c>
      <c r="U34" s="163">
        <v>15815.634132000001</v>
      </c>
      <c r="V34" s="163">
        <v>2913.2049999999999</v>
      </c>
      <c r="W34" s="163">
        <v>1594.74</v>
      </c>
      <c r="X34" s="163">
        <v>2515.7220000000002</v>
      </c>
      <c r="Y34" s="163">
        <f t="shared" si="6"/>
        <v>292918.38517600001</v>
      </c>
      <c r="Z34" s="163">
        <v>78752.258925999995</v>
      </c>
      <c r="AA34" s="163">
        <v>180145.95</v>
      </c>
      <c r="AB34" s="163">
        <v>1559.9</v>
      </c>
      <c r="AC34" s="163">
        <v>32460.276249999999</v>
      </c>
      <c r="AD34" s="225">
        <v>934.20606515517238</v>
      </c>
      <c r="AE34" s="163">
        <f t="shared" si="7"/>
        <v>31877.031999999996</v>
      </c>
      <c r="AF34" s="163">
        <v>20717.030999999999</v>
      </c>
      <c r="AG34" s="163">
        <v>2923.3510000000001</v>
      </c>
      <c r="AH34" s="163">
        <v>4549.4430000000002</v>
      </c>
      <c r="AI34" s="163">
        <v>3687.2069999999999</v>
      </c>
      <c r="AJ34" s="48"/>
      <c r="AK34" s="14"/>
      <c r="AL34" s="14"/>
      <c r="AM34" s="14"/>
      <c r="AN34" s="15"/>
    </row>
    <row r="35" spans="1:40" s="16" customFormat="1" ht="40.5" customHeight="1" x14ac:dyDescent="0.25">
      <c r="A35" s="49">
        <v>8</v>
      </c>
      <c r="B35" s="50" t="s">
        <v>244</v>
      </c>
      <c r="C35" s="165">
        <f t="shared" si="4"/>
        <v>0</v>
      </c>
      <c r="D35" s="166"/>
      <c r="E35" s="166"/>
      <c r="F35" s="166"/>
      <c r="G35" s="166"/>
      <c r="H35" s="166"/>
      <c r="I35" s="163">
        <f t="shared" si="2"/>
        <v>9025</v>
      </c>
      <c r="J35" s="163">
        <v>3578</v>
      </c>
      <c r="K35" s="163">
        <v>1947</v>
      </c>
      <c r="L35" s="163"/>
      <c r="M35" s="163">
        <v>3500</v>
      </c>
      <c r="N35" s="163">
        <f t="shared" si="5"/>
        <v>0</v>
      </c>
      <c r="O35" s="163"/>
      <c r="P35" s="163"/>
      <c r="Q35" s="163"/>
      <c r="R35" s="163"/>
      <c r="S35" s="163"/>
      <c r="T35" s="163">
        <f t="shared" si="3"/>
        <v>5484</v>
      </c>
      <c r="U35" s="163">
        <v>1884</v>
      </c>
      <c r="V35" s="163"/>
      <c r="W35" s="163"/>
      <c r="X35" s="163">
        <v>3600</v>
      </c>
      <c r="Y35" s="163">
        <f t="shared" si="6"/>
        <v>0</v>
      </c>
      <c r="Z35" s="163"/>
      <c r="AA35" s="163"/>
      <c r="AB35" s="163"/>
      <c r="AC35" s="163"/>
      <c r="AD35" s="225"/>
      <c r="AE35" s="163">
        <f t="shared" si="7"/>
        <v>0</v>
      </c>
      <c r="AF35" s="163"/>
      <c r="AG35" s="163"/>
      <c r="AH35" s="163"/>
      <c r="AI35" s="163"/>
      <c r="AJ35" s="48"/>
      <c r="AK35" s="14"/>
      <c r="AL35" s="14"/>
      <c r="AM35" s="14"/>
      <c r="AN35" s="15"/>
    </row>
    <row r="36" spans="1:40" s="16" customFormat="1" ht="29.25" customHeight="1" x14ac:dyDescent="0.25">
      <c r="A36" s="49">
        <v>9</v>
      </c>
      <c r="B36" s="50" t="s">
        <v>44</v>
      </c>
      <c r="C36" s="165">
        <f t="shared" si="4"/>
        <v>0</v>
      </c>
      <c r="D36" s="166"/>
      <c r="E36" s="166"/>
      <c r="F36" s="166"/>
      <c r="G36" s="166"/>
      <c r="H36" s="166"/>
      <c r="I36" s="163">
        <f t="shared" si="2"/>
        <v>43658</v>
      </c>
      <c r="J36" s="163">
        <f>1376+14732</f>
        <v>16108</v>
      </c>
      <c r="K36" s="163">
        <f>1610+19765</f>
        <v>21375</v>
      </c>
      <c r="L36" s="163"/>
      <c r="M36" s="163">
        <f>1200+4975</f>
        <v>6175</v>
      </c>
      <c r="N36" s="163">
        <f t="shared" si="5"/>
        <v>0</v>
      </c>
      <c r="O36" s="163"/>
      <c r="P36" s="163"/>
      <c r="Q36" s="163"/>
      <c r="R36" s="163"/>
      <c r="S36" s="163"/>
      <c r="T36" s="163">
        <f t="shared" si="3"/>
        <v>0</v>
      </c>
      <c r="U36" s="163"/>
      <c r="V36" s="163"/>
      <c r="W36" s="163"/>
      <c r="X36" s="163"/>
      <c r="Y36" s="163">
        <f t="shared" si="6"/>
        <v>0</v>
      </c>
      <c r="Z36" s="163"/>
      <c r="AA36" s="163"/>
      <c r="AB36" s="163"/>
      <c r="AC36" s="163"/>
      <c r="AD36" s="225"/>
      <c r="AE36" s="163">
        <f t="shared" si="7"/>
        <v>0</v>
      </c>
      <c r="AF36" s="163"/>
      <c r="AG36" s="163"/>
      <c r="AH36" s="163"/>
      <c r="AI36" s="163"/>
      <c r="AJ36" s="48"/>
      <c r="AK36" s="14"/>
      <c r="AL36" s="14"/>
      <c r="AM36" s="14"/>
      <c r="AN36" s="15"/>
    </row>
    <row r="37" spans="1:40" s="22" customFormat="1" ht="19.899999999999999" customHeight="1" x14ac:dyDescent="0.2">
      <c r="A37" s="44" t="s">
        <v>31</v>
      </c>
      <c r="B37" s="52" t="s">
        <v>15</v>
      </c>
      <c r="C37" s="162">
        <f t="shared" si="4"/>
        <v>292875</v>
      </c>
      <c r="D37" s="162">
        <f t="shared" ref="D37:AD37" si="10">D38+D42</f>
        <v>120383</v>
      </c>
      <c r="E37" s="162">
        <f t="shared" si="10"/>
        <v>0</v>
      </c>
      <c r="F37" s="162">
        <f t="shared" si="10"/>
        <v>11822</v>
      </c>
      <c r="G37" s="162">
        <f t="shared" si="10"/>
        <v>160670</v>
      </c>
      <c r="H37" s="162">
        <f t="shared" si="10"/>
        <v>65</v>
      </c>
      <c r="I37" s="164">
        <f t="shared" si="2"/>
        <v>334707</v>
      </c>
      <c r="J37" s="164">
        <v>90745</v>
      </c>
      <c r="K37" s="164">
        <v>14178</v>
      </c>
      <c r="L37" s="164">
        <f t="shared" si="10"/>
        <v>0</v>
      </c>
      <c r="M37" s="164">
        <v>229784</v>
      </c>
      <c r="N37" s="164">
        <f t="shared" si="5"/>
        <v>1873274.9999999998</v>
      </c>
      <c r="O37" s="164">
        <f t="shared" si="10"/>
        <v>763674.7</v>
      </c>
      <c r="P37" s="164">
        <f t="shared" si="10"/>
        <v>0</v>
      </c>
      <c r="Q37" s="164">
        <f t="shared" si="10"/>
        <v>35134</v>
      </c>
      <c r="R37" s="164">
        <f t="shared" si="10"/>
        <v>1074466.2999999998</v>
      </c>
      <c r="S37" s="164">
        <f t="shared" si="10"/>
        <v>196.18</v>
      </c>
      <c r="T37" s="164">
        <f t="shared" si="3"/>
        <v>442982</v>
      </c>
      <c r="U37" s="164">
        <f>+U38+U42</f>
        <v>336051</v>
      </c>
      <c r="V37" s="164">
        <f t="shared" ref="V37:X37" si="11">+V38+V42</f>
        <v>27095</v>
      </c>
      <c r="W37" s="164">
        <f t="shared" si="11"/>
        <v>0</v>
      </c>
      <c r="X37" s="164">
        <f t="shared" si="11"/>
        <v>79836</v>
      </c>
      <c r="Y37" s="164">
        <f t="shared" si="6"/>
        <v>4782907.9000000004</v>
      </c>
      <c r="Z37" s="164">
        <f t="shared" si="10"/>
        <v>1467507.9</v>
      </c>
      <c r="AA37" s="164">
        <f t="shared" si="10"/>
        <v>2286598</v>
      </c>
      <c r="AB37" s="164">
        <f t="shared" si="10"/>
        <v>56622.9</v>
      </c>
      <c r="AC37" s="164">
        <f t="shared" si="10"/>
        <v>972179.10000000009</v>
      </c>
      <c r="AD37" s="226">
        <f t="shared" si="10"/>
        <v>233.63</v>
      </c>
      <c r="AE37" s="164">
        <f t="shared" si="7"/>
        <v>389203</v>
      </c>
      <c r="AF37" s="164">
        <f>AF38+AF42</f>
        <v>223077</v>
      </c>
      <c r="AG37" s="164">
        <f t="shared" ref="AG37:AH37" si="12">AG38+AG42</f>
        <v>51658</v>
      </c>
      <c r="AH37" s="164">
        <f t="shared" si="12"/>
        <v>0</v>
      </c>
      <c r="AI37" s="164">
        <f>AI38+AI42</f>
        <v>114468</v>
      </c>
      <c r="AJ37" s="45"/>
      <c r="AK37" s="21"/>
    </row>
    <row r="38" spans="1:40" s="16" customFormat="1" ht="19.899999999999999" customHeight="1" x14ac:dyDescent="0.25">
      <c r="A38" s="53">
        <v>1</v>
      </c>
      <c r="B38" s="54" t="s">
        <v>45</v>
      </c>
      <c r="C38" s="58">
        <f t="shared" si="4"/>
        <v>292875</v>
      </c>
      <c r="D38" s="58">
        <f t="shared" ref="D38:AI38" si="13">D39+D41</f>
        <v>120383</v>
      </c>
      <c r="E38" s="58">
        <f t="shared" si="13"/>
        <v>0</v>
      </c>
      <c r="F38" s="58">
        <f t="shared" si="13"/>
        <v>11822</v>
      </c>
      <c r="G38" s="58">
        <f t="shared" si="13"/>
        <v>160670</v>
      </c>
      <c r="H38" s="58">
        <f t="shared" si="13"/>
        <v>65</v>
      </c>
      <c r="I38" s="168">
        <f t="shared" si="2"/>
        <v>114510</v>
      </c>
      <c r="J38" s="168">
        <f t="shared" si="13"/>
        <v>77303</v>
      </c>
      <c r="K38" s="168">
        <f t="shared" si="13"/>
        <v>9279</v>
      </c>
      <c r="L38" s="168">
        <f t="shared" si="13"/>
        <v>0</v>
      </c>
      <c r="M38" s="168">
        <f t="shared" si="13"/>
        <v>27928</v>
      </c>
      <c r="N38" s="168">
        <f t="shared" si="5"/>
        <v>726170.99999999988</v>
      </c>
      <c r="O38" s="168">
        <f t="shared" si="13"/>
        <v>163675.29999999999</v>
      </c>
      <c r="P38" s="168">
        <f t="shared" si="13"/>
        <v>0</v>
      </c>
      <c r="Q38" s="168">
        <f t="shared" si="13"/>
        <v>14337.3</v>
      </c>
      <c r="R38" s="168">
        <f t="shared" si="13"/>
        <v>548158.39999999991</v>
      </c>
      <c r="S38" s="168">
        <f t="shared" si="13"/>
        <v>66.959999999999994</v>
      </c>
      <c r="T38" s="168">
        <f t="shared" si="3"/>
        <v>230088</v>
      </c>
      <c r="U38" s="168">
        <f>SUM(U39:U41)</f>
        <v>141710</v>
      </c>
      <c r="V38" s="168">
        <f>SUM(V39:V41)</f>
        <v>16295</v>
      </c>
      <c r="W38" s="168">
        <f t="shared" ref="W38:X38" si="14">SUM(W39:W41)</f>
        <v>0</v>
      </c>
      <c r="X38" s="168">
        <f t="shared" si="14"/>
        <v>72083</v>
      </c>
      <c r="Y38" s="168">
        <f t="shared" si="6"/>
        <v>2816708.4</v>
      </c>
      <c r="Z38" s="168">
        <f t="shared" si="13"/>
        <v>738066</v>
      </c>
      <c r="AA38" s="168">
        <f t="shared" si="13"/>
        <v>1473118</v>
      </c>
      <c r="AB38" s="168">
        <f t="shared" si="13"/>
        <v>19443</v>
      </c>
      <c r="AC38" s="168">
        <f t="shared" si="13"/>
        <v>586081.4</v>
      </c>
      <c r="AD38" s="228">
        <f t="shared" si="13"/>
        <v>88.5</v>
      </c>
      <c r="AE38" s="168">
        <f t="shared" si="7"/>
        <v>70262</v>
      </c>
      <c r="AF38" s="168">
        <f t="shared" si="13"/>
        <v>21428</v>
      </c>
      <c r="AG38" s="168">
        <f t="shared" si="13"/>
        <v>19637</v>
      </c>
      <c r="AH38" s="168">
        <f t="shared" si="13"/>
        <v>0</v>
      </c>
      <c r="AI38" s="168">
        <f t="shared" si="13"/>
        <v>29197</v>
      </c>
      <c r="AJ38" s="56"/>
      <c r="AK38" s="15"/>
    </row>
    <row r="39" spans="1:40" ht="19.899999999999999" customHeight="1" x14ac:dyDescent="0.25">
      <c r="A39" s="51" t="s">
        <v>46</v>
      </c>
      <c r="B39" s="50" t="s">
        <v>47</v>
      </c>
      <c r="C39" s="165">
        <f t="shared" si="4"/>
        <v>292875</v>
      </c>
      <c r="D39" s="163">
        <v>120383</v>
      </c>
      <c r="E39" s="163"/>
      <c r="F39" s="163">
        <v>11822</v>
      </c>
      <c r="G39" s="163">
        <v>160670</v>
      </c>
      <c r="H39" s="169">
        <v>65</v>
      </c>
      <c r="I39" s="163">
        <f t="shared" si="2"/>
        <v>114510</v>
      </c>
      <c r="J39" s="163">
        <v>77303</v>
      </c>
      <c r="K39" s="163">
        <v>9279</v>
      </c>
      <c r="L39" s="163"/>
      <c r="M39" s="163">
        <v>27928</v>
      </c>
      <c r="N39" s="163">
        <f t="shared" si="5"/>
        <v>726170.99999999988</v>
      </c>
      <c r="O39" s="163">
        <v>163675.29999999999</v>
      </c>
      <c r="P39" s="163"/>
      <c r="Q39" s="163">
        <v>14337.3</v>
      </c>
      <c r="R39" s="163">
        <f>726171-O39-Q39</f>
        <v>548158.39999999991</v>
      </c>
      <c r="S39" s="170">
        <v>66.959999999999994</v>
      </c>
      <c r="T39" s="163">
        <f t="shared" si="3"/>
        <v>135927</v>
      </c>
      <c r="U39" s="163">
        <v>122991</v>
      </c>
      <c r="V39" s="163">
        <v>11706</v>
      </c>
      <c r="W39" s="163"/>
      <c r="X39" s="163">
        <v>1230</v>
      </c>
      <c r="Y39" s="163">
        <f t="shared" si="6"/>
        <v>2787952</v>
      </c>
      <c r="Z39" s="163">
        <v>735990</v>
      </c>
      <c r="AA39" s="163">
        <v>1450246</v>
      </c>
      <c r="AB39" s="163">
        <v>18334</v>
      </c>
      <c r="AC39" s="163">
        <v>583382</v>
      </c>
      <c r="AD39" s="227">
        <v>88.5</v>
      </c>
      <c r="AE39" s="163">
        <f t="shared" si="7"/>
        <v>41985</v>
      </c>
      <c r="AF39" s="163">
        <f>21428</f>
        <v>21428</v>
      </c>
      <c r="AG39" s="163">
        <v>19637</v>
      </c>
      <c r="AH39" s="163"/>
      <c r="AI39" s="163">
        <v>920</v>
      </c>
      <c r="AJ39" s="48"/>
      <c r="AK39" s="26"/>
    </row>
    <row r="40" spans="1:40" ht="30" customHeight="1" x14ac:dyDescent="0.25">
      <c r="A40" s="51" t="s">
        <v>48</v>
      </c>
      <c r="B40" s="50" t="s">
        <v>49</v>
      </c>
      <c r="C40" s="165">
        <f t="shared" si="4"/>
        <v>63958</v>
      </c>
      <c r="D40" s="163">
        <v>28599</v>
      </c>
      <c r="E40" s="163"/>
      <c r="F40" s="163">
        <v>7215</v>
      </c>
      <c r="G40" s="163">
        <v>28144</v>
      </c>
      <c r="H40" s="169">
        <v>78</v>
      </c>
      <c r="I40" s="163">
        <f t="shared" si="2"/>
        <v>57750</v>
      </c>
      <c r="J40" s="163">
        <v>16013</v>
      </c>
      <c r="K40" s="163">
        <v>3696</v>
      </c>
      <c r="L40" s="163"/>
      <c r="M40" s="163">
        <f>8491+19550+10000</f>
        <v>38041</v>
      </c>
      <c r="N40" s="163">
        <f t="shared" si="5"/>
        <v>97111.5</v>
      </c>
      <c r="O40" s="163">
        <v>55807.7</v>
      </c>
      <c r="P40" s="163"/>
      <c r="Q40" s="163">
        <v>6286</v>
      </c>
      <c r="R40" s="163">
        <f>97111.5-O40-Q40</f>
        <v>35017.800000000003</v>
      </c>
      <c r="S40" s="170">
        <v>74.400000000000006</v>
      </c>
      <c r="T40" s="163">
        <f t="shared" si="3"/>
        <v>94161</v>
      </c>
      <c r="U40" s="163">
        <v>18719</v>
      </c>
      <c r="V40" s="163">
        <v>4589</v>
      </c>
      <c r="W40" s="163"/>
      <c r="X40" s="163">
        <v>70853</v>
      </c>
      <c r="Y40" s="163">
        <f t="shared" si="6"/>
        <v>168456</v>
      </c>
      <c r="Z40" s="163">
        <v>38105</v>
      </c>
      <c r="AA40" s="163">
        <v>87612</v>
      </c>
      <c r="AB40" s="163">
        <v>7224</v>
      </c>
      <c r="AC40" s="163">
        <v>35515</v>
      </c>
      <c r="AD40" s="227">
        <v>98.4</v>
      </c>
      <c r="AE40" s="163">
        <f t="shared" si="7"/>
        <v>55888</v>
      </c>
      <c r="AF40" s="163">
        <f>18649+4315</f>
        <v>22964</v>
      </c>
      <c r="AG40" s="163">
        <v>4384</v>
      </c>
      <c r="AH40" s="163"/>
      <c r="AI40" s="163">
        <f>28540</f>
        <v>28540</v>
      </c>
      <c r="AJ40" s="48"/>
      <c r="AK40" s="26"/>
    </row>
    <row r="41" spans="1:40" ht="30" customHeight="1" x14ac:dyDescent="0.25">
      <c r="A41" s="51">
        <v>1.3</v>
      </c>
      <c r="B41" s="50" t="s">
        <v>12</v>
      </c>
      <c r="C41" s="165">
        <f t="shared" si="4"/>
        <v>0</v>
      </c>
      <c r="D41" s="166"/>
      <c r="E41" s="166"/>
      <c r="F41" s="163"/>
      <c r="G41" s="163"/>
      <c r="H41" s="163"/>
      <c r="I41" s="163">
        <f t="shared" si="2"/>
        <v>0</v>
      </c>
      <c r="J41" s="163"/>
      <c r="K41" s="163"/>
      <c r="L41" s="163"/>
      <c r="M41" s="163"/>
      <c r="N41" s="163">
        <f t="shared" si="5"/>
        <v>0</v>
      </c>
      <c r="O41" s="163"/>
      <c r="P41" s="163"/>
      <c r="Q41" s="163"/>
      <c r="R41" s="163"/>
      <c r="S41" s="163"/>
      <c r="T41" s="163">
        <f t="shared" si="3"/>
        <v>0</v>
      </c>
      <c r="U41" s="163"/>
      <c r="V41" s="163"/>
      <c r="W41" s="163"/>
      <c r="X41" s="163"/>
      <c r="Y41" s="163">
        <f t="shared" si="6"/>
        <v>28756.400000000001</v>
      </c>
      <c r="Z41" s="163">
        <v>2076</v>
      </c>
      <c r="AA41" s="163">
        <v>22872</v>
      </c>
      <c r="AB41" s="163">
        <v>1109</v>
      </c>
      <c r="AC41" s="163">
        <v>2699.4</v>
      </c>
      <c r="AD41" s="225"/>
      <c r="AE41" s="163">
        <f t="shared" si="7"/>
        <v>28277</v>
      </c>
      <c r="AF41" s="163"/>
      <c r="AG41" s="163"/>
      <c r="AH41" s="163"/>
      <c r="AI41" s="163">
        <f>4320+6957+17000</f>
        <v>28277</v>
      </c>
      <c r="AJ41" s="48"/>
      <c r="AK41" s="26"/>
    </row>
    <row r="42" spans="1:40" s="16" customFormat="1" ht="19.899999999999999" customHeight="1" x14ac:dyDescent="0.25">
      <c r="A42" s="53">
        <v>2</v>
      </c>
      <c r="B42" s="54" t="s">
        <v>50</v>
      </c>
      <c r="C42" s="58">
        <f t="shared" si="4"/>
        <v>0</v>
      </c>
      <c r="D42" s="171">
        <f t="shared" ref="D42:AI42" si="15">SUM(D43:D46)</f>
        <v>0</v>
      </c>
      <c r="E42" s="171">
        <f t="shared" si="15"/>
        <v>0</v>
      </c>
      <c r="F42" s="171">
        <f>SUM(F43:F46)</f>
        <v>0</v>
      </c>
      <c r="G42" s="171">
        <f t="shared" si="15"/>
        <v>0</v>
      </c>
      <c r="H42" s="171">
        <f t="shared" si="15"/>
        <v>0</v>
      </c>
      <c r="I42" s="168">
        <f t="shared" si="2"/>
        <v>0</v>
      </c>
      <c r="J42" s="168">
        <f t="shared" si="15"/>
        <v>0</v>
      </c>
      <c r="K42" s="168">
        <f t="shared" si="15"/>
        <v>0</v>
      </c>
      <c r="L42" s="168">
        <f t="shared" si="15"/>
        <v>0</v>
      </c>
      <c r="M42" s="168">
        <f t="shared" si="15"/>
        <v>0</v>
      </c>
      <c r="N42" s="168">
        <f t="shared" si="5"/>
        <v>1147104</v>
      </c>
      <c r="O42" s="58">
        <f t="shared" ref="O42:S42" si="16">SUM(O43:O46)</f>
        <v>599999.4</v>
      </c>
      <c r="P42" s="58">
        <f t="shared" si="16"/>
        <v>0</v>
      </c>
      <c r="Q42" s="58">
        <f t="shared" si="16"/>
        <v>20796.7</v>
      </c>
      <c r="R42" s="58">
        <f t="shared" si="16"/>
        <v>526307.9</v>
      </c>
      <c r="S42" s="58">
        <f t="shared" si="16"/>
        <v>129.22</v>
      </c>
      <c r="T42" s="168">
        <f t="shared" si="3"/>
        <v>212894</v>
      </c>
      <c r="U42" s="168">
        <f>SUM(U43:U46)</f>
        <v>194341</v>
      </c>
      <c r="V42" s="168">
        <f t="shared" ref="V42:X42" si="17">SUM(V43:V46)</f>
        <v>10800</v>
      </c>
      <c r="W42" s="168">
        <f t="shared" si="17"/>
        <v>0</v>
      </c>
      <c r="X42" s="168">
        <f t="shared" si="17"/>
        <v>7753</v>
      </c>
      <c r="Y42" s="168">
        <f t="shared" si="6"/>
        <v>1966199.4999999998</v>
      </c>
      <c r="Z42" s="168">
        <f t="shared" si="15"/>
        <v>729441.9</v>
      </c>
      <c r="AA42" s="168">
        <f t="shared" si="15"/>
        <v>813480</v>
      </c>
      <c r="AB42" s="168">
        <f t="shared" si="15"/>
        <v>37179.9</v>
      </c>
      <c r="AC42" s="168">
        <f t="shared" si="15"/>
        <v>386097.7</v>
      </c>
      <c r="AD42" s="228">
        <f t="shared" si="15"/>
        <v>145.13</v>
      </c>
      <c r="AE42" s="168">
        <f t="shared" si="7"/>
        <v>318941</v>
      </c>
      <c r="AF42" s="168">
        <f t="shared" si="15"/>
        <v>201649</v>
      </c>
      <c r="AG42" s="168">
        <f t="shared" si="15"/>
        <v>32021</v>
      </c>
      <c r="AH42" s="168">
        <f t="shared" si="15"/>
        <v>0</v>
      </c>
      <c r="AI42" s="168">
        <f t="shared" si="15"/>
        <v>85271</v>
      </c>
      <c r="AJ42" s="56"/>
      <c r="AK42" s="15"/>
    </row>
    <row r="43" spans="1:40" ht="19.899999999999999" customHeight="1" x14ac:dyDescent="0.25">
      <c r="A43" s="51" t="s">
        <v>51</v>
      </c>
      <c r="B43" s="50" t="s">
        <v>47</v>
      </c>
      <c r="C43" s="165">
        <f t="shared" si="4"/>
        <v>0</v>
      </c>
      <c r="D43" s="166"/>
      <c r="E43" s="166"/>
      <c r="F43" s="166"/>
      <c r="G43" s="166"/>
      <c r="H43" s="166"/>
      <c r="I43" s="163">
        <f t="shared" si="2"/>
        <v>0</v>
      </c>
      <c r="J43" s="163"/>
      <c r="K43" s="163"/>
      <c r="L43" s="163"/>
      <c r="M43" s="163"/>
      <c r="N43" s="163">
        <f t="shared" si="5"/>
        <v>0</v>
      </c>
      <c r="O43" s="163"/>
      <c r="P43" s="163"/>
      <c r="Q43" s="163"/>
      <c r="R43" s="163"/>
      <c r="S43" s="163"/>
      <c r="T43" s="163">
        <f t="shared" si="3"/>
        <v>0</v>
      </c>
      <c r="U43" s="163"/>
      <c r="V43" s="163"/>
      <c r="W43" s="163"/>
      <c r="X43" s="163"/>
      <c r="Y43" s="163">
        <f t="shared" si="6"/>
        <v>0</v>
      </c>
      <c r="Z43" s="163"/>
      <c r="AA43" s="163"/>
      <c r="AB43" s="163"/>
      <c r="AC43" s="163"/>
      <c r="AD43" s="225"/>
      <c r="AE43" s="163">
        <f t="shared" si="7"/>
        <v>0</v>
      </c>
      <c r="AF43" s="163"/>
      <c r="AG43" s="163"/>
      <c r="AH43" s="163"/>
      <c r="AI43" s="163"/>
      <c r="AJ43" s="48"/>
      <c r="AK43" s="26"/>
    </row>
    <row r="44" spans="1:40" ht="27" customHeight="1" x14ac:dyDescent="0.25">
      <c r="A44" s="51" t="s">
        <v>52</v>
      </c>
      <c r="B44" s="50" t="s">
        <v>53</v>
      </c>
      <c r="C44" s="165">
        <f t="shared" si="4"/>
        <v>0</v>
      </c>
      <c r="D44" s="166"/>
      <c r="E44" s="166"/>
      <c r="F44" s="166"/>
      <c r="G44" s="166"/>
      <c r="H44" s="163"/>
      <c r="I44" s="163">
        <f t="shared" si="2"/>
        <v>0</v>
      </c>
      <c r="J44" s="163"/>
      <c r="K44" s="163"/>
      <c r="L44" s="163"/>
      <c r="M44" s="163"/>
      <c r="N44" s="163">
        <f t="shared" si="5"/>
        <v>0</v>
      </c>
      <c r="O44" s="163"/>
      <c r="P44" s="163"/>
      <c r="Q44" s="163"/>
      <c r="R44" s="163"/>
      <c r="S44" s="163">
        <v>50.14</v>
      </c>
      <c r="T44" s="163">
        <f t="shared" si="3"/>
        <v>99009</v>
      </c>
      <c r="U44" s="163">
        <f>86356+7253</f>
        <v>93609</v>
      </c>
      <c r="V44" s="163">
        <f>5400</f>
        <v>5400</v>
      </c>
      <c r="W44" s="163"/>
      <c r="X44" s="163"/>
      <c r="Y44" s="163">
        <f t="shared" si="6"/>
        <v>0</v>
      </c>
      <c r="Z44" s="163"/>
      <c r="AA44" s="163"/>
      <c r="AB44" s="163"/>
      <c r="AC44" s="163"/>
      <c r="AD44" s="225">
        <v>56.93</v>
      </c>
      <c r="AE44" s="163">
        <f t="shared" si="7"/>
        <v>124609</v>
      </c>
      <c r="AF44" s="163">
        <f>8234+99195</f>
        <v>107429</v>
      </c>
      <c r="AG44" s="163">
        <v>17180</v>
      </c>
      <c r="AH44" s="163"/>
      <c r="AI44" s="163"/>
      <c r="AJ44" s="48"/>
      <c r="AK44" s="26"/>
    </row>
    <row r="45" spans="1:40" ht="60" customHeight="1" x14ac:dyDescent="0.25">
      <c r="A45" s="51">
        <v>2.2999999999999998</v>
      </c>
      <c r="B45" s="50" t="s">
        <v>54</v>
      </c>
      <c r="C45" s="165">
        <f t="shared" si="4"/>
        <v>0</v>
      </c>
      <c r="D45" s="166"/>
      <c r="E45" s="166"/>
      <c r="F45" s="166"/>
      <c r="G45" s="166"/>
      <c r="H45" s="163"/>
      <c r="I45" s="163">
        <f t="shared" si="2"/>
        <v>0</v>
      </c>
      <c r="J45" s="163"/>
      <c r="K45" s="163"/>
      <c r="L45" s="163"/>
      <c r="M45" s="163"/>
      <c r="N45" s="163">
        <f t="shared" si="5"/>
        <v>0</v>
      </c>
      <c r="O45" s="163"/>
      <c r="P45" s="163"/>
      <c r="Q45" s="163"/>
      <c r="R45" s="163"/>
      <c r="S45" s="163"/>
      <c r="T45" s="163">
        <f t="shared" si="3"/>
        <v>0</v>
      </c>
      <c r="U45" s="163"/>
      <c r="V45" s="163"/>
      <c r="W45" s="163"/>
      <c r="X45" s="163"/>
      <c r="Y45" s="163">
        <f t="shared" si="6"/>
        <v>0</v>
      </c>
      <c r="Z45" s="163"/>
      <c r="AA45" s="163"/>
      <c r="AB45" s="163"/>
      <c r="AC45" s="163"/>
      <c r="AD45" s="225"/>
      <c r="AE45" s="163">
        <f t="shared" si="7"/>
        <v>19710</v>
      </c>
      <c r="AF45" s="163">
        <v>16155</v>
      </c>
      <c r="AG45" s="163">
        <v>3555</v>
      </c>
      <c r="AH45" s="163"/>
      <c r="AI45" s="163"/>
      <c r="AJ45" s="48"/>
      <c r="AK45" s="26"/>
    </row>
    <row r="46" spans="1:40" ht="30" customHeight="1" x14ac:dyDescent="0.25">
      <c r="A46" s="51">
        <v>2.4</v>
      </c>
      <c r="B46" s="50" t="s">
        <v>49</v>
      </c>
      <c r="C46" s="165">
        <f t="shared" si="4"/>
        <v>0</v>
      </c>
      <c r="D46" s="166"/>
      <c r="E46" s="166"/>
      <c r="F46" s="166"/>
      <c r="G46" s="166"/>
      <c r="H46" s="169"/>
      <c r="I46" s="163">
        <f t="shared" si="2"/>
        <v>0</v>
      </c>
      <c r="J46" s="163"/>
      <c r="K46" s="163"/>
      <c r="L46" s="163"/>
      <c r="M46" s="163"/>
      <c r="N46" s="163">
        <f t="shared" si="5"/>
        <v>1147104</v>
      </c>
      <c r="O46" s="163">
        <v>599999.4</v>
      </c>
      <c r="P46" s="163"/>
      <c r="Q46" s="163">
        <v>20796.7</v>
      </c>
      <c r="R46" s="163">
        <f>1147104-O46-Q46</f>
        <v>526307.9</v>
      </c>
      <c r="S46" s="170">
        <v>79.08</v>
      </c>
      <c r="T46" s="163">
        <f t="shared" si="3"/>
        <v>113885</v>
      </c>
      <c r="U46" s="163">
        <f>75938+24794</f>
        <v>100732</v>
      </c>
      <c r="V46" s="163">
        <f>0+5400</f>
        <v>5400</v>
      </c>
      <c r="W46" s="163"/>
      <c r="X46" s="163">
        <v>7753</v>
      </c>
      <c r="Y46" s="163">
        <f t="shared" si="6"/>
        <v>1966199.4999999998</v>
      </c>
      <c r="Z46" s="163">
        <v>729441.9</v>
      </c>
      <c r="AA46" s="163">
        <v>813480</v>
      </c>
      <c r="AB46" s="163">
        <v>37179.9</v>
      </c>
      <c r="AC46" s="163">
        <v>386097.7</v>
      </c>
      <c r="AD46" s="225">
        <v>88.2</v>
      </c>
      <c r="AE46" s="163">
        <f t="shared" si="7"/>
        <v>174622</v>
      </c>
      <c r="AF46" s="163">
        <f>27781+28784+21500</f>
        <v>78065</v>
      </c>
      <c r="AG46" s="163">
        <f>4758+6528</f>
        <v>11286</v>
      </c>
      <c r="AH46" s="163"/>
      <c r="AI46" s="163">
        <f>30871+30000+24400</f>
        <v>85271</v>
      </c>
      <c r="AJ46" s="48"/>
      <c r="AK46" s="26"/>
    </row>
    <row r="47" spans="1:40" s="22" customFormat="1" ht="30" customHeight="1" x14ac:dyDescent="0.2">
      <c r="A47" s="46" t="s">
        <v>14</v>
      </c>
      <c r="B47" s="47" t="s">
        <v>79</v>
      </c>
      <c r="C47" s="162">
        <f t="shared" si="4"/>
        <v>624551.11167430005</v>
      </c>
      <c r="D47" s="162">
        <f>D48+D67</f>
        <v>133089.86888199998</v>
      </c>
      <c r="E47" s="162">
        <f>E48+E67</f>
        <v>314407.38000000006</v>
      </c>
      <c r="F47" s="162">
        <f>F48+F67</f>
        <v>8724.6455999999998</v>
      </c>
      <c r="G47" s="162">
        <f>G48+G67</f>
        <v>168329.21719230001</v>
      </c>
      <c r="H47" s="162">
        <f>H48+H67</f>
        <v>938.87398482266337</v>
      </c>
      <c r="I47" s="163">
        <f t="shared" si="2"/>
        <v>41307</v>
      </c>
      <c r="J47" s="164">
        <f>+J48+J53+J54+J55+J56+J57+J58+J59+J60+J61</f>
        <v>5495</v>
      </c>
      <c r="K47" s="164">
        <f t="shared" ref="K47:M47" si="18">+K48+K53+K54+K55+K56+K57+K58+K59+K60+K61</f>
        <v>1776</v>
      </c>
      <c r="L47" s="164">
        <f t="shared" si="18"/>
        <v>0</v>
      </c>
      <c r="M47" s="164">
        <f t="shared" si="18"/>
        <v>34036</v>
      </c>
      <c r="N47" s="163">
        <f t="shared" si="5"/>
        <v>667736.73652200005</v>
      </c>
      <c r="O47" s="164">
        <f t="shared" ref="O47:S47" si="19">O48+O67</f>
        <v>151269.61888199998</v>
      </c>
      <c r="P47" s="164">
        <f t="shared" si="19"/>
        <v>321373.43</v>
      </c>
      <c r="Q47" s="164">
        <f t="shared" si="19"/>
        <v>10150.045599999999</v>
      </c>
      <c r="R47" s="164">
        <f t="shared" si="19"/>
        <v>184943.64204000001</v>
      </c>
      <c r="S47" s="164">
        <f t="shared" si="19"/>
        <v>1009.1870697991857</v>
      </c>
      <c r="T47" s="163">
        <f t="shared" si="3"/>
        <v>38077</v>
      </c>
      <c r="U47" s="164">
        <f>SUM(U53:U61)+U48</f>
        <v>2114</v>
      </c>
      <c r="V47" s="164">
        <f>SUM(V53:V61)+V48</f>
        <v>781</v>
      </c>
      <c r="W47" s="164">
        <f>SUM(W53:W61)+W48</f>
        <v>0</v>
      </c>
      <c r="X47" s="164">
        <f>SUM(X53:X61)+X48</f>
        <v>35182</v>
      </c>
      <c r="Y47" s="163">
        <f t="shared" si="6"/>
        <v>893400.82968199998</v>
      </c>
      <c r="Z47" s="164">
        <f t="shared" ref="Z47:AD47" si="20">Z48+Z67</f>
        <v>253692.41388199999</v>
      </c>
      <c r="AA47" s="164">
        <f t="shared" si="20"/>
        <v>374639.05</v>
      </c>
      <c r="AB47" s="164">
        <f t="shared" si="20"/>
        <v>15921.3226</v>
      </c>
      <c r="AC47" s="164">
        <f t="shared" si="20"/>
        <v>249148.04320000001</v>
      </c>
      <c r="AD47" s="226">
        <f t="shared" si="20"/>
        <v>2561.405905044991</v>
      </c>
      <c r="AE47" s="163">
        <f t="shared" si="7"/>
        <v>16025</v>
      </c>
      <c r="AF47" s="164">
        <f>+AF48+AF53+AF54+AF55+AF56+AF57+AF58+AF59+AF60+AF61</f>
        <v>1067</v>
      </c>
      <c r="AG47" s="164">
        <f t="shared" ref="AG47:AI47" si="21">+AG48+AG53+AG54+AG55+AG56+AG57+AG58+AG59+AG60+AG61</f>
        <v>69</v>
      </c>
      <c r="AH47" s="164">
        <f t="shared" si="21"/>
        <v>7000</v>
      </c>
      <c r="AI47" s="164">
        <f t="shared" si="21"/>
        <v>7889</v>
      </c>
      <c r="AJ47" s="45"/>
      <c r="AK47" s="21"/>
    </row>
    <row r="48" spans="1:40" s="28" customFormat="1" ht="19.899999999999999" customHeight="1" x14ac:dyDescent="0.25">
      <c r="A48" s="129">
        <v>1</v>
      </c>
      <c r="B48" s="130" t="s">
        <v>104</v>
      </c>
      <c r="C48" s="165">
        <f t="shared" si="4"/>
        <v>0</v>
      </c>
      <c r="D48" s="171">
        <f>SUM(D55:D66)</f>
        <v>0</v>
      </c>
      <c r="E48" s="171">
        <f>SUM(E55:E66)</f>
        <v>0</v>
      </c>
      <c r="F48" s="171">
        <f>SUM(F55:F66)</f>
        <v>0</v>
      </c>
      <c r="G48" s="171">
        <f>SUM(G55:G66)</f>
        <v>0</v>
      </c>
      <c r="H48" s="171">
        <f>SUM(H55:H66)</f>
        <v>0</v>
      </c>
      <c r="I48" s="163">
        <f t="shared" si="2"/>
        <v>24631</v>
      </c>
      <c r="J48" s="168">
        <v>1614</v>
      </c>
      <c r="K48" s="168">
        <v>471</v>
      </c>
      <c r="L48" s="168">
        <v>0</v>
      </c>
      <c r="M48" s="168">
        <v>22546</v>
      </c>
      <c r="N48" s="163">
        <f t="shared" si="5"/>
        <v>0</v>
      </c>
      <c r="O48" s="168">
        <f t="shared" ref="O48:S48" si="22">SUM(O55:O66)</f>
        <v>0</v>
      </c>
      <c r="P48" s="168">
        <f t="shared" si="22"/>
        <v>0</v>
      </c>
      <c r="Q48" s="168">
        <f t="shared" si="22"/>
        <v>0</v>
      </c>
      <c r="R48" s="168">
        <f t="shared" si="22"/>
        <v>0</v>
      </c>
      <c r="S48" s="168">
        <f t="shared" si="22"/>
        <v>0</v>
      </c>
      <c r="T48" s="163">
        <f t="shared" si="3"/>
        <v>3438</v>
      </c>
      <c r="U48" s="168">
        <f>SUM(U49:U52)</f>
        <v>1100</v>
      </c>
      <c r="V48" s="168">
        <f t="shared" ref="V48:X48" si="23">SUM(V49:V52)</f>
        <v>388</v>
      </c>
      <c r="W48" s="168">
        <f t="shared" si="23"/>
        <v>0</v>
      </c>
      <c r="X48" s="168">
        <f t="shared" si="23"/>
        <v>1950</v>
      </c>
      <c r="Y48" s="163">
        <f t="shared" si="6"/>
        <v>0</v>
      </c>
      <c r="Z48" s="168">
        <f t="shared" ref="Z48:AD48" si="24">SUM(Z55:Z66)</f>
        <v>0</v>
      </c>
      <c r="AA48" s="168">
        <f t="shared" si="24"/>
        <v>0</v>
      </c>
      <c r="AB48" s="168">
        <f t="shared" si="24"/>
        <v>0</v>
      </c>
      <c r="AC48" s="168">
        <f t="shared" si="24"/>
        <v>0</v>
      </c>
      <c r="AD48" s="228">
        <f t="shared" si="24"/>
        <v>0</v>
      </c>
      <c r="AE48" s="163">
        <f t="shared" si="7"/>
        <v>10691</v>
      </c>
      <c r="AF48" s="168">
        <f>SUM(AF49:AF52)</f>
        <v>1067</v>
      </c>
      <c r="AG48" s="168">
        <f t="shared" ref="AG48:AI48" si="25">SUM(AG49:AG52)</f>
        <v>69</v>
      </c>
      <c r="AH48" s="168">
        <f t="shared" si="25"/>
        <v>7000</v>
      </c>
      <c r="AI48" s="168">
        <f t="shared" si="25"/>
        <v>2555</v>
      </c>
      <c r="AJ48" s="56"/>
      <c r="AK48" s="27"/>
    </row>
    <row r="49" spans="1:37" s="28" customFormat="1" ht="33" customHeight="1" x14ac:dyDescent="0.25">
      <c r="A49" s="129" t="s">
        <v>46</v>
      </c>
      <c r="B49" s="130" t="s">
        <v>174</v>
      </c>
      <c r="C49" s="165">
        <f t="shared" si="4"/>
        <v>168</v>
      </c>
      <c r="D49" s="171"/>
      <c r="E49" s="171"/>
      <c r="F49" s="171"/>
      <c r="G49" s="171">
        <v>168</v>
      </c>
      <c r="H49" s="171">
        <v>2.2000000000000002</v>
      </c>
      <c r="I49" s="163">
        <f t="shared" si="2"/>
        <v>929</v>
      </c>
      <c r="J49" s="168">
        <v>311</v>
      </c>
      <c r="K49" s="168">
        <v>118</v>
      </c>
      <c r="L49" s="168"/>
      <c r="M49" s="168">
        <v>500</v>
      </c>
      <c r="N49" s="163">
        <f t="shared" si="5"/>
        <v>256</v>
      </c>
      <c r="O49" s="168"/>
      <c r="P49" s="168"/>
      <c r="Q49" s="168"/>
      <c r="R49" s="168">
        <v>256</v>
      </c>
      <c r="S49" s="172">
        <v>2.7</v>
      </c>
      <c r="T49" s="163">
        <f t="shared" si="3"/>
        <v>460</v>
      </c>
      <c r="U49" s="168">
        <v>341</v>
      </c>
      <c r="V49" s="168">
        <v>119</v>
      </c>
      <c r="W49" s="168"/>
      <c r="X49" s="168"/>
      <c r="Y49" s="163">
        <f t="shared" si="6"/>
        <v>0</v>
      </c>
      <c r="Z49" s="168"/>
      <c r="AA49" s="168"/>
      <c r="AB49" s="168"/>
      <c r="AC49" s="168"/>
      <c r="AD49" s="228"/>
      <c r="AE49" s="163">
        <f t="shared" si="7"/>
        <v>0</v>
      </c>
      <c r="AF49" s="168"/>
      <c r="AG49" s="168"/>
      <c r="AH49" s="168"/>
      <c r="AI49" s="168"/>
      <c r="AJ49" s="56"/>
      <c r="AK49" s="27"/>
    </row>
    <row r="50" spans="1:37" s="28" customFormat="1" ht="24" x14ac:dyDescent="0.25">
      <c r="A50" s="129" t="s">
        <v>48</v>
      </c>
      <c r="B50" s="130" t="s">
        <v>105</v>
      </c>
      <c r="C50" s="165">
        <f t="shared" si="4"/>
        <v>769</v>
      </c>
      <c r="D50" s="171"/>
      <c r="E50" s="171"/>
      <c r="F50" s="171"/>
      <c r="G50" s="171">
        <v>769</v>
      </c>
      <c r="H50" s="171">
        <v>3</v>
      </c>
      <c r="I50" s="163">
        <f t="shared" si="2"/>
        <v>1444</v>
      </c>
      <c r="J50" s="168">
        <v>486</v>
      </c>
      <c r="K50" s="168">
        <v>158</v>
      </c>
      <c r="L50" s="168"/>
      <c r="M50" s="168">
        <v>800</v>
      </c>
      <c r="N50" s="163">
        <f t="shared" si="5"/>
        <v>612.5</v>
      </c>
      <c r="O50" s="168"/>
      <c r="P50" s="168"/>
      <c r="Q50" s="168"/>
      <c r="R50" s="168">
        <v>612.5</v>
      </c>
      <c r="S50" s="172">
        <v>3.5</v>
      </c>
      <c r="T50" s="163">
        <f t="shared" si="3"/>
        <v>1950</v>
      </c>
      <c r="U50" s="168"/>
      <c r="V50" s="168"/>
      <c r="W50" s="168"/>
      <c r="X50" s="168">
        <v>1950</v>
      </c>
      <c r="Y50" s="163">
        <f t="shared" si="6"/>
        <v>3920</v>
      </c>
      <c r="Z50" s="168">
        <v>3162</v>
      </c>
      <c r="AA50" s="168"/>
      <c r="AB50" s="168"/>
      <c r="AC50" s="168">
        <v>758</v>
      </c>
      <c r="AD50" s="228"/>
      <c r="AE50" s="163">
        <f t="shared" si="7"/>
        <v>10691</v>
      </c>
      <c r="AF50" s="168">
        <v>1067</v>
      </c>
      <c r="AG50" s="168">
        <v>69</v>
      </c>
      <c r="AH50" s="168">
        <v>7000</v>
      </c>
      <c r="AI50" s="168">
        <v>2555</v>
      </c>
      <c r="AJ50" s="56"/>
      <c r="AK50" s="27"/>
    </row>
    <row r="51" spans="1:37" s="28" customFormat="1" ht="34.5" customHeight="1" x14ac:dyDescent="0.25">
      <c r="A51" s="129" t="s">
        <v>64</v>
      </c>
      <c r="B51" s="130" t="s">
        <v>173</v>
      </c>
      <c r="C51" s="165">
        <f t="shared" si="4"/>
        <v>6796</v>
      </c>
      <c r="D51" s="171">
        <v>5742</v>
      </c>
      <c r="E51" s="171"/>
      <c r="F51" s="171"/>
      <c r="G51" s="171">
        <v>1054</v>
      </c>
      <c r="H51" s="171"/>
      <c r="I51" s="163">
        <f t="shared" si="2"/>
        <v>0</v>
      </c>
      <c r="J51" s="168"/>
      <c r="K51" s="168"/>
      <c r="L51" s="168"/>
      <c r="M51" s="168"/>
      <c r="N51" s="163">
        <f t="shared" si="5"/>
        <v>26149.436999999998</v>
      </c>
      <c r="O51" s="168">
        <v>5282.6559999999999</v>
      </c>
      <c r="P51" s="168">
        <v>9051.3799999999992</v>
      </c>
      <c r="Q51" s="168">
        <v>55.393999999999998</v>
      </c>
      <c r="R51" s="168">
        <v>11760.007</v>
      </c>
      <c r="S51" s="168"/>
      <c r="T51" s="163">
        <f t="shared" si="3"/>
        <v>565</v>
      </c>
      <c r="U51" s="168">
        <v>418</v>
      </c>
      <c r="V51" s="168">
        <v>147</v>
      </c>
      <c r="W51" s="168"/>
      <c r="X51" s="168"/>
      <c r="Y51" s="163">
        <f t="shared" si="6"/>
        <v>41455</v>
      </c>
      <c r="Z51" s="168">
        <v>5742</v>
      </c>
      <c r="AA51" s="168">
        <v>9051</v>
      </c>
      <c r="AB51" s="168">
        <v>92</v>
      </c>
      <c r="AC51" s="168">
        <v>26570</v>
      </c>
      <c r="AD51" s="228"/>
      <c r="AE51" s="163">
        <f t="shared" si="7"/>
        <v>0</v>
      </c>
      <c r="AF51" s="168"/>
      <c r="AG51" s="168"/>
      <c r="AH51" s="168"/>
      <c r="AI51" s="168"/>
      <c r="AJ51" s="56"/>
      <c r="AK51" s="27"/>
    </row>
    <row r="52" spans="1:37" s="28" customFormat="1" ht="36.75" customHeight="1" x14ac:dyDescent="0.25">
      <c r="A52" s="129" t="s">
        <v>65</v>
      </c>
      <c r="B52" s="130" t="s">
        <v>174</v>
      </c>
      <c r="C52" s="165">
        <f t="shared" si="4"/>
        <v>0</v>
      </c>
      <c r="D52" s="171"/>
      <c r="E52" s="171"/>
      <c r="F52" s="171"/>
      <c r="G52" s="171"/>
      <c r="H52" s="171"/>
      <c r="I52" s="163">
        <f t="shared" si="2"/>
        <v>0</v>
      </c>
      <c r="J52" s="168"/>
      <c r="K52" s="168"/>
      <c r="L52" s="168"/>
      <c r="M52" s="168"/>
      <c r="N52" s="163">
        <f t="shared" si="5"/>
        <v>0</v>
      </c>
      <c r="O52" s="168"/>
      <c r="P52" s="168"/>
      <c r="Q52" s="168"/>
      <c r="R52" s="168"/>
      <c r="S52" s="168"/>
      <c r="T52" s="163">
        <f t="shared" si="3"/>
        <v>463</v>
      </c>
      <c r="U52" s="168">
        <v>341</v>
      </c>
      <c r="V52" s="168">
        <v>122</v>
      </c>
      <c r="W52" s="168"/>
      <c r="X52" s="168"/>
      <c r="Y52" s="163">
        <f t="shared" si="6"/>
        <v>0</v>
      </c>
      <c r="Z52" s="168"/>
      <c r="AA52" s="168"/>
      <c r="AB52" s="168"/>
      <c r="AC52" s="168"/>
      <c r="AD52" s="228"/>
      <c r="AE52" s="163">
        <f t="shared" si="7"/>
        <v>0</v>
      </c>
      <c r="AF52" s="168"/>
      <c r="AG52" s="168"/>
      <c r="AH52" s="168"/>
      <c r="AI52" s="168"/>
      <c r="AJ52" s="56"/>
      <c r="AK52" s="27"/>
    </row>
    <row r="53" spans="1:37" s="28" customFormat="1" ht="36.75" customHeight="1" x14ac:dyDescent="0.25">
      <c r="A53" s="129">
        <v>2</v>
      </c>
      <c r="B53" s="130" t="s">
        <v>186</v>
      </c>
      <c r="C53" s="165">
        <f t="shared" si="4"/>
        <v>0</v>
      </c>
      <c r="D53" s="171"/>
      <c r="E53" s="171"/>
      <c r="F53" s="171"/>
      <c r="G53" s="171"/>
      <c r="H53" s="171"/>
      <c r="I53" s="163">
        <f t="shared" si="2"/>
        <v>3688</v>
      </c>
      <c r="J53" s="168">
        <v>2843</v>
      </c>
      <c r="K53" s="168">
        <v>845</v>
      </c>
      <c r="L53" s="168"/>
      <c r="M53" s="168"/>
      <c r="N53" s="163">
        <f t="shared" si="5"/>
        <v>0</v>
      </c>
      <c r="O53" s="168"/>
      <c r="P53" s="168"/>
      <c r="Q53" s="168"/>
      <c r="R53" s="168"/>
      <c r="S53" s="168"/>
      <c r="T53" s="163">
        <f t="shared" si="3"/>
        <v>0</v>
      </c>
      <c r="U53" s="168"/>
      <c r="V53" s="168"/>
      <c r="W53" s="168"/>
      <c r="X53" s="168"/>
      <c r="Y53" s="163">
        <f t="shared" si="6"/>
        <v>0</v>
      </c>
      <c r="Z53" s="168"/>
      <c r="AA53" s="168"/>
      <c r="AB53" s="168"/>
      <c r="AC53" s="168"/>
      <c r="AD53" s="228"/>
      <c r="AE53" s="163">
        <f t="shared" si="7"/>
        <v>0</v>
      </c>
      <c r="AF53" s="168"/>
      <c r="AG53" s="168"/>
      <c r="AH53" s="168"/>
      <c r="AI53" s="168"/>
      <c r="AJ53" s="56"/>
      <c r="AK53" s="27"/>
    </row>
    <row r="54" spans="1:37" s="28" customFormat="1" ht="45" customHeight="1" x14ac:dyDescent="0.25">
      <c r="A54" s="131">
        <v>3</v>
      </c>
      <c r="B54" s="130" t="s">
        <v>107</v>
      </c>
      <c r="C54" s="165">
        <f t="shared" si="4"/>
        <v>0</v>
      </c>
      <c r="D54" s="171"/>
      <c r="E54" s="171"/>
      <c r="F54" s="171"/>
      <c r="G54" s="171"/>
      <c r="H54" s="171"/>
      <c r="I54" s="163">
        <f t="shared" si="2"/>
        <v>0</v>
      </c>
      <c r="J54" s="168"/>
      <c r="K54" s="168"/>
      <c r="L54" s="168"/>
      <c r="M54" s="168"/>
      <c r="N54" s="163">
        <f t="shared" si="5"/>
        <v>0</v>
      </c>
      <c r="O54" s="168"/>
      <c r="P54" s="168"/>
      <c r="Q54" s="168"/>
      <c r="R54" s="168"/>
      <c r="S54" s="168"/>
      <c r="T54" s="163">
        <f t="shared" si="3"/>
        <v>0</v>
      </c>
      <c r="U54" s="168"/>
      <c r="V54" s="168"/>
      <c r="W54" s="168"/>
      <c r="X54" s="168"/>
      <c r="Y54" s="163">
        <f t="shared" si="6"/>
        <v>0</v>
      </c>
      <c r="Z54" s="168"/>
      <c r="AA54" s="168"/>
      <c r="AB54" s="168"/>
      <c r="AC54" s="168"/>
      <c r="AD54" s="228"/>
      <c r="AE54" s="163">
        <f t="shared" si="7"/>
        <v>1010</v>
      </c>
      <c r="AF54" s="168"/>
      <c r="AG54" s="168"/>
      <c r="AH54" s="168"/>
      <c r="AI54" s="168">
        <v>1010</v>
      </c>
      <c r="AJ54" s="56"/>
      <c r="AK54" s="27"/>
    </row>
    <row r="55" spans="1:37" ht="50.25" customHeight="1" x14ac:dyDescent="0.25">
      <c r="A55" s="131">
        <v>4</v>
      </c>
      <c r="B55" s="130" t="s">
        <v>108</v>
      </c>
      <c r="C55" s="165">
        <f t="shared" si="4"/>
        <v>0</v>
      </c>
      <c r="D55" s="166"/>
      <c r="E55" s="166"/>
      <c r="F55" s="166"/>
      <c r="G55" s="166"/>
      <c r="H55" s="166"/>
      <c r="I55" s="163">
        <f t="shared" si="2"/>
        <v>0</v>
      </c>
      <c r="J55" s="163"/>
      <c r="K55" s="163"/>
      <c r="L55" s="163"/>
      <c r="M55" s="163"/>
      <c r="N55" s="163">
        <f t="shared" si="5"/>
        <v>0</v>
      </c>
      <c r="O55" s="163"/>
      <c r="P55" s="163"/>
      <c r="Q55" s="163"/>
      <c r="R55" s="163"/>
      <c r="S55" s="163"/>
      <c r="T55" s="163">
        <f t="shared" si="3"/>
        <v>0</v>
      </c>
      <c r="U55" s="163"/>
      <c r="V55" s="163"/>
      <c r="W55" s="163"/>
      <c r="X55" s="163"/>
      <c r="Y55" s="163">
        <f t="shared" si="6"/>
        <v>0</v>
      </c>
      <c r="Z55" s="163"/>
      <c r="AA55" s="163"/>
      <c r="AB55" s="163"/>
      <c r="AC55" s="163"/>
      <c r="AD55" s="225"/>
      <c r="AE55" s="163">
        <f t="shared" si="7"/>
        <v>1559</v>
      </c>
      <c r="AF55" s="163"/>
      <c r="AG55" s="163"/>
      <c r="AH55" s="163"/>
      <c r="AI55" s="163">
        <v>1559</v>
      </c>
      <c r="AJ55" s="48"/>
      <c r="AK55" s="29"/>
    </row>
    <row r="56" spans="1:37" ht="36.75" customHeight="1" x14ac:dyDescent="0.25">
      <c r="A56" s="131">
        <v>5</v>
      </c>
      <c r="B56" s="130" t="s">
        <v>106</v>
      </c>
      <c r="C56" s="165">
        <f t="shared" si="4"/>
        <v>0</v>
      </c>
      <c r="D56" s="166"/>
      <c r="E56" s="166"/>
      <c r="F56" s="166"/>
      <c r="G56" s="166"/>
      <c r="H56" s="166"/>
      <c r="I56" s="163">
        <f t="shared" si="2"/>
        <v>0</v>
      </c>
      <c r="J56" s="163"/>
      <c r="K56" s="163"/>
      <c r="L56" s="163"/>
      <c r="M56" s="163"/>
      <c r="N56" s="163">
        <f t="shared" si="5"/>
        <v>0</v>
      </c>
      <c r="O56" s="163"/>
      <c r="P56" s="163"/>
      <c r="Q56" s="163"/>
      <c r="R56" s="163"/>
      <c r="S56" s="163"/>
      <c r="T56" s="163">
        <f t="shared" si="3"/>
        <v>0</v>
      </c>
      <c r="U56" s="163"/>
      <c r="V56" s="163"/>
      <c r="W56" s="163"/>
      <c r="X56" s="163"/>
      <c r="Y56" s="163">
        <f t="shared" si="6"/>
        <v>0</v>
      </c>
      <c r="Z56" s="163"/>
      <c r="AA56" s="163"/>
      <c r="AB56" s="163"/>
      <c r="AC56" s="163"/>
      <c r="AD56" s="225"/>
      <c r="AE56" s="163">
        <f t="shared" si="7"/>
        <v>2765</v>
      </c>
      <c r="AF56" s="163"/>
      <c r="AG56" s="163"/>
      <c r="AH56" s="163"/>
      <c r="AI56" s="163">
        <v>2765</v>
      </c>
      <c r="AJ56" s="48"/>
      <c r="AK56" s="29"/>
    </row>
    <row r="57" spans="1:37" ht="36.75" customHeight="1" x14ac:dyDescent="0.25">
      <c r="A57" s="131">
        <v>6</v>
      </c>
      <c r="B57" s="130" t="s">
        <v>175</v>
      </c>
      <c r="C57" s="165">
        <f t="shared" si="4"/>
        <v>0</v>
      </c>
      <c r="D57" s="166"/>
      <c r="E57" s="166"/>
      <c r="F57" s="166"/>
      <c r="G57" s="166"/>
      <c r="H57" s="166"/>
      <c r="I57" s="163">
        <f t="shared" si="2"/>
        <v>9950</v>
      </c>
      <c r="J57" s="163"/>
      <c r="K57" s="163"/>
      <c r="L57" s="163"/>
      <c r="M57" s="163">
        <v>9950</v>
      </c>
      <c r="N57" s="163">
        <f t="shared" si="5"/>
        <v>0</v>
      </c>
      <c r="O57" s="163"/>
      <c r="P57" s="163"/>
      <c r="Q57" s="163"/>
      <c r="R57" s="163"/>
      <c r="S57" s="163"/>
      <c r="T57" s="163">
        <f t="shared" si="3"/>
        <v>8973</v>
      </c>
      <c r="U57" s="163"/>
      <c r="V57" s="163"/>
      <c r="W57" s="163"/>
      <c r="X57" s="163">
        <v>8973</v>
      </c>
      <c r="Y57" s="163">
        <f t="shared" si="6"/>
        <v>0</v>
      </c>
      <c r="Z57" s="163"/>
      <c r="AA57" s="163"/>
      <c r="AB57" s="163"/>
      <c r="AC57" s="163"/>
      <c r="AD57" s="225"/>
      <c r="AE57" s="163">
        <f t="shared" si="7"/>
        <v>0</v>
      </c>
      <c r="AF57" s="163"/>
      <c r="AG57" s="163"/>
      <c r="AH57" s="163"/>
      <c r="AI57" s="163"/>
      <c r="AJ57" s="48"/>
      <c r="AK57" s="29"/>
    </row>
    <row r="58" spans="1:37" ht="36.75" customHeight="1" x14ac:dyDescent="0.25">
      <c r="A58" s="131">
        <v>7</v>
      </c>
      <c r="B58" s="130" t="s">
        <v>137</v>
      </c>
      <c r="C58" s="165">
        <f t="shared" si="4"/>
        <v>0</v>
      </c>
      <c r="D58" s="166"/>
      <c r="E58" s="166"/>
      <c r="F58" s="166"/>
      <c r="G58" s="166"/>
      <c r="H58" s="166"/>
      <c r="I58" s="163">
        <f t="shared" si="2"/>
        <v>780</v>
      </c>
      <c r="J58" s="163">
        <v>593</v>
      </c>
      <c r="K58" s="163">
        <v>187</v>
      </c>
      <c r="L58" s="163"/>
      <c r="M58" s="163"/>
      <c r="N58" s="163">
        <f t="shared" si="5"/>
        <v>0</v>
      </c>
      <c r="O58" s="163"/>
      <c r="P58" s="163"/>
      <c r="Q58" s="163"/>
      <c r="R58" s="163"/>
      <c r="S58" s="163"/>
      <c r="T58" s="163">
        <f t="shared" si="3"/>
        <v>829</v>
      </c>
      <c r="U58" s="163">
        <v>578</v>
      </c>
      <c r="V58" s="163">
        <v>197</v>
      </c>
      <c r="W58" s="163"/>
      <c r="X58" s="163">
        <v>54</v>
      </c>
      <c r="Y58" s="163">
        <f t="shared" si="6"/>
        <v>0</v>
      </c>
      <c r="Z58" s="163"/>
      <c r="AA58" s="163"/>
      <c r="AB58" s="163"/>
      <c r="AC58" s="163"/>
      <c r="AD58" s="225"/>
      <c r="AE58" s="163">
        <f t="shared" si="7"/>
        <v>0</v>
      </c>
      <c r="AF58" s="163"/>
      <c r="AG58" s="163"/>
      <c r="AH58" s="163"/>
      <c r="AI58" s="163"/>
      <c r="AJ58" s="48"/>
      <c r="AK58" s="29"/>
    </row>
    <row r="59" spans="1:37" ht="36.75" customHeight="1" x14ac:dyDescent="0.25">
      <c r="A59" s="131">
        <v>8</v>
      </c>
      <c r="B59" s="130" t="s">
        <v>176</v>
      </c>
      <c r="C59" s="165">
        <f t="shared" si="4"/>
        <v>0</v>
      </c>
      <c r="D59" s="166"/>
      <c r="E59" s="166"/>
      <c r="F59" s="166"/>
      <c r="G59" s="166"/>
      <c r="H59" s="166"/>
      <c r="I59" s="163">
        <f t="shared" si="2"/>
        <v>1651</v>
      </c>
      <c r="J59" s="163">
        <v>340</v>
      </c>
      <c r="K59" s="163">
        <v>141</v>
      </c>
      <c r="L59" s="163"/>
      <c r="M59" s="163">
        <v>1170</v>
      </c>
      <c r="N59" s="163">
        <f t="shared" si="5"/>
        <v>0</v>
      </c>
      <c r="O59" s="163"/>
      <c r="P59" s="163"/>
      <c r="Q59" s="163"/>
      <c r="R59" s="163"/>
      <c r="S59" s="163"/>
      <c r="T59" s="163">
        <f t="shared" si="3"/>
        <v>2891</v>
      </c>
      <c r="U59" s="163">
        <v>347</v>
      </c>
      <c r="V59" s="163">
        <v>147</v>
      </c>
      <c r="W59" s="163"/>
      <c r="X59" s="163">
        <v>2397</v>
      </c>
      <c r="Y59" s="163">
        <f t="shared" si="6"/>
        <v>0</v>
      </c>
      <c r="Z59" s="163"/>
      <c r="AA59" s="163"/>
      <c r="AB59" s="163"/>
      <c r="AC59" s="163"/>
      <c r="AD59" s="225"/>
      <c r="AE59" s="163">
        <f t="shared" si="7"/>
        <v>0</v>
      </c>
      <c r="AF59" s="163"/>
      <c r="AG59" s="163"/>
      <c r="AH59" s="163"/>
      <c r="AI59" s="163"/>
      <c r="AJ59" s="48"/>
      <c r="AK59" s="29"/>
    </row>
    <row r="60" spans="1:37" ht="36.75" customHeight="1" x14ac:dyDescent="0.25">
      <c r="A60" s="131">
        <v>9</v>
      </c>
      <c r="B60" s="130" t="s">
        <v>177</v>
      </c>
      <c r="C60" s="165">
        <f t="shared" si="4"/>
        <v>0</v>
      </c>
      <c r="D60" s="166"/>
      <c r="E60" s="166"/>
      <c r="F60" s="166"/>
      <c r="G60" s="166"/>
      <c r="H60" s="166"/>
      <c r="I60" s="163">
        <f t="shared" si="2"/>
        <v>607</v>
      </c>
      <c r="J60" s="163">
        <v>105</v>
      </c>
      <c r="K60" s="163">
        <v>132</v>
      </c>
      <c r="L60" s="163"/>
      <c r="M60" s="163">
        <v>370</v>
      </c>
      <c r="N60" s="163">
        <f t="shared" si="5"/>
        <v>0</v>
      </c>
      <c r="O60" s="163"/>
      <c r="P60" s="163"/>
      <c r="Q60" s="163"/>
      <c r="R60" s="163"/>
      <c r="S60" s="163"/>
      <c r="T60" s="163">
        <f t="shared" si="3"/>
        <v>433</v>
      </c>
      <c r="U60" s="163">
        <v>89</v>
      </c>
      <c r="V60" s="163">
        <v>49</v>
      </c>
      <c r="W60" s="163"/>
      <c r="X60" s="163">
        <v>295</v>
      </c>
      <c r="Y60" s="163">
        <f t="shared" si="6"/>
        <v>0</v>
      </c>
      <c r="Z60" s="163"/>
      <c r="AA60" s="163"/>
      <c r="AB60" s="163"/>
      <c r="AC60" s="163"/>
      <c r="AD60" s="225"/>
      <c r="AE60" s="163">
        <f t="shared" si="7"/>
        <v>0</v>
      </c>
      <c r="AF60" s="163"/>
      <c r="AG60" s="163"/>
      <c r="AH60" s="163"/>
      <c r="AI60" s="163"/>
      <c r="AJ60" s="48"/>
      <c r="AK60" s="29"/>
    </row>
    <row r="61" spans="1:37" ht="36.75" customHeight="1" x14ac:dyDescent="0.25">
      <c r="A61" s="131">
        <v>11</v>
      </c>
      <c r="B61" s="130" t="s">
        <v>178</v>
      </c>
      <c r="C61" s="165">
        <f t="shared" si="4"/>
        <v>0</v>
      </c>
      <c r="D61" s="166"/>
      <c r="E61" s="166"/>
      <c r="F61" s="166"/>
      <c r="G61" s="166"/>
      <c r="H61" s="166"/>
      <c r="I61" s="163">
        <f t="shared" si="2"/>
        <v>0</v>
      </c>
      <c r="J61" s="163"/>
      <c r="K61" s="163"/>
      <c r="L61" s="163"/>
      <c r="M61" s="163"/>
      <c r="N61" s="163">
        <f t="shared" si="5"/>
        <v>0</v>
      </c>
      <c r="O61" s="163"/>
      <c r="P61" s="163"/>
      <c r="Q61" s="163"/>
      <c r="R61" s="163"/>
      <c r="S61" s="163"/>
      <c r="T61" s="163">
        <f t="shared" si="3"/>
        <v>21513</v>
      </c>
      <c r="U61" s="163"/>
      <c r="V61" s="163"/>
      <c r="W61" s="163"/>
      <c r="X61" s="163">
        <v>21513</v>
      </c>
      <c r="Y61" s="163">
        <f t="shared" si="6"/>
        <v>0</v>
      </c>
      <c r="Z61" s="163"/>
      <c r="AA61" s="163"/>
      <c r="AB61" s="163"/>
      <c r="AC61" s="163"/>
      <c r="AD61" s="225"/>
      <c r="AE61" s="163">
        <f t="shared" si="7"/>
        <v>0</v>
      </c>
      <c r="AF61" s="163"/>
      <c r="AG61" s="163"/>
      <c r="AH61" s="163"/>
      <c r="AI61" s="163"/>
      <c r="AJ61" s="48"/>
      <c r="AK61" s="29"/>
    </row>
    <row r="62" spans="1:37" s="22" customFormat="1" ht="30" customHeight="1" x14ac:dyDescent="0.2">
      <c r="A62" s="46" t="s">
        <v>16</v>
      </c>
      <c r="B62" s="47" t="s">
        <v>80</v>
      </c>
      <c r="C62" s="165">
        <f t="shared" si="4"/>
        <v>0</v>
      </c>
      <c r="D62" s="173"/>
      <c r="E62" s="173"/>
      <c r="F62" s="173"/>
      <c r="G62" s="173"/>
      <c r="H62" s="173"/>
      <c r="I62" s="163">
        <f t="shared" si="2"/>
        <v>0</v>
      </c>
      <c r="J62" s="164"/>
      <c r="K62" s="164"/>
      <c r="L62" s="164"/>
      <c r="M62" s="164"/>
      <c r="N62" s="163">
        <f t="shared" si="5"/>
        <v>0</v>
      </c>
      <c r="O62" s="164"/>
      <c r="P62" s="164"/>
      <c r="Q62" s="164"/>
      <c r="R62" s="164"/>
      <c r="S62" s="164"/>
      <c r="T62" s="163">
        <f t="shared" si="3"/>
        <v>0</v>
      </c>
      <c r="U62" s="164"/>
      <c r="V62" s="164"/>
      <c r="W62" s="164"/>
      <c r="X62" s="164"/>
      <c r="Y62" s="163">
        <f t="shared" si="6"/>
        <v>0</v>
      </c>
      <c r="Z62" s="164"/>
      <c r="AA62" s="164"/>
      <c r="AB62" s="164"/>
      <c r="AC62" s="164"/>
      <c r="AD62" s="226"/>
      <c r="AE62" s="163">
        <f t="shared" si="7"/>
        <v>0</v>
      </c>
      <c r="AF62" s="164"/>
      <c r="AG62" s="164"/>
      <c r="AH62" s="164"/>
      <c r="AI62" s="164"/>
      <c r="AJ62" s="45"/>
      <c r="AK62" s="30"/>
    </row>
    <row r="63" spans="1:37" s="22" customFormat="1" ht="30" hidden="1" customHeight="1" x14ac:dyDescent="0.2">
      <c r="A63" s="53">
        <v>1</v>
      </c>
      <c r="B63" s="54" t="s">
        <v>20</v>
      </c>
      <c r="C63" s="165">
        <f t="shared" si="4"/>
        <v>0</v>
      </c>
      <c r="D63" s="173"/>
      <c r="E63" s="173"/>
      <c r="F63" s="173"/>
      <c r="G63" s="173"/>
      <c r="H63" s="173"/>
      <c r="I63" s="163">
        <f t="shared" si="2"/>
        <v>0</v>
      </c>
      <c r="J63" s="164"/>
      <c r="K63" s="164"/>
      <c r="L63" s="164"/>
      <c r="M63" s="164"/>
      <c r="N63" s="163">
        <f t="shared" si="5"/>
        <v>0</v>
      </c>
      <c r="O63" s="164"/>
      <c r="P63" s="164"/>
      <c r="Q63" s="164"/>
      <c r="R63" s="164"/>
      <c r="S63" s="164"/>
      <c r="T63" s="163">
        <f t="shared" si="3"/>
        <v>0</v>
      </c>
      <c r="U63" s="164"/>
      <c r="V63" s="164"/>
      <c r="W63" s="164"/>
      <c r="X63" s="164"/>
      <c r="Y63" s="163">
        <f t="shared" si="6"/>
        <v>0</v>
      </c>
      <c r="Z63" s="164"/>
      <c r="AA63" s="164"/>
      <c r="AB63" s="164"/>
      <c r="AC63" s="164"/>
      <c r="AD63" s="226"/>
      <c r="AE63" s="163">
        <f t="shared" si="7"/>
        <v>0</v>
      </c>
      <c r="AF63" s="164"/>
      <c r="AG63" s="164"/>
      <c r="AH63" s="164"/>
      <c r="AI63" s="164"/>
      <c r="AJ63" s="45"/>
      <c r="AK63" s="30"/>
    </row>
    <row r="64" spans="1:37" s="22" customFormat="1" ht="30" hidden="1" customHeight="1" x14ac:dyDescent="0.2">
      <c r="A64" s="59">
        <v>2</v>
      </c>
      <c r="B64" s="47" t="s">
        <v>20</v>
      </c>
      <c r="C64" s="165">
        <f t="shared" si="4"/>
        <v>0</v>
      </c>
      <c r="D64" s="173"/>
      <c r="E64" s="173"/>
      <c r="F64" s="173"/>
      <c r="G64" s="173"/>
      <c r="H64" s="173"/>
      <c r="I64" s="163">
        <f t="shared" si="2"/>
        <v>0</v>
      </c>
      <c r="J64" s="164"/>
      <c r="K64" s="164"/>
      <c r="L64" s="164"/>
      <c r="M64" s="164"/>
      <c r="N64" s="163">
        <f t="shared" si="5"/>
        <v>0</v>
      </c>
      <c r="O64" s="164"/>
      <c r="P64" s="164"/>
      <c r="Q64" s="164"/>
      <c r="R64" s="164"/>
      <c r="S64" s="164"/>
      <c r="T64" s="163">
        <f t="shared" si="3"/>
        <v>0</v>
      </c>
      <c r="U64" s="164"/>
      <c r="V64" s="164"/>
      <c r="W64" s="164"/>
      <c r="X64" s="164"/>
      <c r="Y64" s="163">
        <f t="shared" si="6"/>
        <v>0</v>
      </c>
      <c r="Z64" s="164"/>
      <c r="AA64" s="164"/>
      <c r="AB64" s="164"/>
      <c r="AC64" s="164"/>
      <c r="AD64" s="226"/>
      <c r="AE64" s="163">
        <f t="shared" si="7"/>
        <v>0</v>
      </c>
      <c r="AF64" s="164"/>
      <c r="AG64" s="164"/>
      <c r="AH64" s="164"/>
      <c r="AI64" s="164"/>
      <c r="AJ64" s="45"/>
      <c r="AK64" s="30"/>
    </row>
    <row r="65" spans="1:37" s="22" customFormat="1" ht="26.45" hidden="1" customHeight="1" x14ac:dyDescent="0.2">
      <c r="A65" s="59" t="s">
        <v>20</v>
      </c>
      <c r="B65" s="47"/>
      <c r="C65" s="165">
        <f t="shared" si="4"/>
        <v>0</v>
      </c>
      <c r="D65" s="173"/>
      <c r="E65" s="173"/>
      <c r="F65" s="173"/>
      <c r="G65" s="173"/>
      <c r="H65" s="173"/>
      <c r="I65" s="163">
        <f t="shared" si="2"/>
        <v>0</v>
      </c>
      <c r="J65" s="164"/>
      <c r="K65" s="164"/>
      <c r="L65" s="164"/>
      <c r="M65" s="164"/>
      <c r="N65" s="163">
        <f t="shared" si="5"/>
        <v>0</v>
      </c>
      <c r="O65" s="164"/>
      <c r="P65" s="164"/>
      <c r="Q65" s="164"/>
      <c r="R65" s="164"/>
      <c r="S65" s="164"/>
      <c r="T65" s="163">
        <f t="shared" si="3"/>
        <v>0</v>
      </c>
      <c r="U65" s="164"/>
      <c r="V65" s="164"/>
      <c r="W65" s="164"/>
      <c r="X65" s="164"/>
      <c r="Y65" s="163">
        <f t="shared" si="6"/>
        <v>0</v>
      </c>
      <c r="Z65" s="164"/>
      <c r="AA65" s="164"/>
      <c r="AB65" s="164"/>
      <c r="AC65" s="164"/>
      <c r="AD65" s="226"/>
      <c r="AE65" s="163">
        <f t="shared" si="7"/>
        <v>0</v>
      </c>
      <c r="AF65" s="164"/>
      <c r="AG65" s="164"/>
      <c r="AH65" s="164"/>
      <c r="AI65" s="164"/>
      <c r="AJ65" s="45"/>
      <c r="AK65" s="31"/>
    </row>
    <row r="66" spans="1:37" s="22" customFormat="1" ht="30" hidden="1" customHeight="1" x14ac:dyDescent="0.2">
      <c r="A66" s="59"/>
      <c r="B66" s="47"/>
      <c r="C66" s="165">
        <f t="shared" si="4"/>
        <v>0</v>
      </c>
      <c r="D66" s="173"/>
      <c r="E66" s="173"/>
      <c r="F66" s="173"/>
      <c r="G66" s="173"/>
      <c r="H66" s="173"/>
      <c r="I66" s="163">
        <f t="shared" si="2"/>
        <v>0</v>
      </c>
      <c r="J66" s="164"/>
      <c r="K66" s="164"/>
      <c r="L66" s="164"/>
      <c r="M66" s="164"/>
      <c r="N66" s="163">
        <f t="shared" si="5"/>
        <v>0</v>
      </c>
      <c r="O66" s="164"/>
      <c r="P66" s="164"/>
      <c r="Q66" s="164"/>
      <c r="R66" s="164"/>
      <c r="S66" s="164"/>
      <c r="T66" s="163">
        <f t="shared" si="3"/>
        <v>0</v>
      </c>
      <c r="U66" s="164"/>
      <c r="V66" s="164"/>
      <c r="W66" s="164"/>
      <c r="X66" s="164"/>
      <c r="Y66" s="163">
        <f t="shared" si="6"/>
        <v>0</v>
      </c>
      <c r="Z66" s="164"/>
      <c r="AA66" s="164"/>
      <c r="AB66" s="164"/>
      <c r="AC66" s="164"/>
      <c r="AD66" s="226"/>
      <c r="AE66" s="163">
        <f t="shared" si="7"/>
        <v>0</v>
      </c>
      <c r="AF66" s="164"/>
      <c r="AG66" s="164"/>
      <c r="AH66" s="164"/>
      <c r="AI66" s="164"/>
      <c r="AJ66" s="45"/>
      <c r="AK66" s="30"/>
    </row>
    <row r="67" spans="1:37" s="16" customFormat="1" ht="33.75" customHeight="1" x14ac:dyDescent="0.25">
      <c r="A67" s="46" t="s">
        <v>18</v>
      </c>
      <c r="B67" s="47" t="s">
        <v>17</v>
      </c>
      <c r="C67" s="162">
        <f t="shared" si="4"/>
        <v>624551.11167430005</v>
      </c>
      <c r="D67" s="58">
        <f>SUM(D68:D78)</f>
        <v>133089.86888199998</v>
      </c>
      <c r="E67" s="58">
        <f t="shared" ref="E67:AJ67" si="26">SUM(E68:E78)</f>
        <v>314407.38000000006</v>
      </c>
      <c r="F67" s="58">
        <f t="shared" si="26"/>
        <v>8724.6455999999998</v>
      </c>
      <c r="G67" s="58">
        <f t="shared" si="26"/>
        <v>168329.21719230001</v>
      </c>
      <c r="H67" s="58">
        <f t="shared" si="26"/>
        <v>938.87398482266337</v>
      </c>
      <c r="I67" s="58">
        <f t="shared" si="26"/>
        <v>62721.683400000002</v>
      </c>
      <c r="J67" s="58">
        <f t="shared" si="26"/>
        <v>24911.780899999998</v>
      </c>
      <c r="K67" s="58">
        <f t="shared" si="26"/>
        <v>17511.909500000002</v>
      </c>
      <c r="L67" s="58">
        <f t="shared" si="26"/>
        <v>643</v>
      </c>
      <c r="M67" s="58">
        <f t="shared" si="26"/>
        <v>19654.993000000002</v>
      </c>
      <c r="N67" s="58">
        <f t="shared" si="26"/>
        <v>667736.73652200005</v>
      </c>
      <c r="O67" s="58">
        <f t="shared" si="26"/>
        <v>151269.61888199998</v>
      </c>
      <c r="P67" s="58">
        <f t="shared" si="26"/>
        <v>321373.43</v>
      </c>
      <c r="Q67" s="58">
        <f t="shared" si="26"/>
        <v>10150.045599999999</v>
      </c>
      <c r="R67" s="58">
        <f t="shared" si="26"/>
        <v>184943.64204000001</v>
      </c>
      <c r="S67" s="58">
        <f t="shared" si="26"/>
        <v>1009.1870697991857</v>
      </c>
      <c r="T67" s="58">
        <f t="shared" si="26"/>
        <v>74368.106235999992</v>
      </c>
      <c r="U67" s="58">
        <f t="shared" si="26"/>
        <v>27866.138235999999</v>
      </c>
      <c r="V67" s="58">
        <f t="shared" si="26"/>
        <v>14053.567999999999</v>
      </c>
      <c r="W67" s="58">
        <f t="shared" si="26"/>
        <v>1470</v>
      </c>
      <c r="X67" s="58">
        <f t="shared" si="26"/>
        <v>30978.400000000001</v>
      </c>
      <c r="Y67" s="58">
        <f t="shared" si="26"/>
        <v>893400.82968199986</v>
      </c>
      <c r="Z67" s="58">
        <f t="shared" si="26"/>
        <v>253692.41388199999</v>
      </c>
      <c r="AA67" s="58">
        <f t="shared" si="26"/>
        <v>374639.05</v>
      </c>
      <c r="AB67" s="58">
        <f t="shared" si="26"/>
        <v>15921.3226</v>
      </c>
      <c r="AC67" s="58">
        <f t="shared" si="26"/>
        <v>249148.04320000001</v>
      </c>
      <c r="AD67" s="229">
        <f t="shared" si="26"/>
        <v>2561.405905044991</v>
      </c>
      <c r="AE67" s="58">
        <f t="shared" si="26"/>
        <v>101473.14</v>
      </c>
      <c r="AF67" s="58">
        <f t="shared" si="26"/>
        <v>35182.126000000004</v>
      </c>
      <c r="AG67" s="58">
        <f t="shared" si="26"/>
        <v>17631.23</v>
      </c>
      <c r="AH67" s="58">
        <f t="shared" si="26"/>
        <v>3411</v>
      </c>
      <c r="AI67" s="58">
        <f t="shared" si="26"/>
        <v>45248.784</v>
      </c>
      <c r="AJ67" s="55">
        <f t="shared" si="26"/>
        <v>0</v>
      </c>
      <c r="AK67" s="15"/>
    </row>
    <row r="68" spans="1:37" s="28" customFormat="1" ht="19.899999999999999" customHeight="1" x14ac:dyDescent="0.25">
      <c r="A68" s="60">
        <v>1</v>
      </c>
      <c r="B68" s="50" t="s">
        <v>98</v>
      </c>
      <c r="C68" s="165">
        <f t="shared" si="4"/>
        <v>0</v>
      </c>
      <c r="D68" s="58"/>
      <c r="E68" s="58"/>
      <c r="F68" s="58"/>
      <c r="G68" s="58"/>
      <c r="H68" s="58"/>
      <c r="I68" s="163">
        <f t="shared" si="2"/>
        <v>21831</v>
      </c>
      <c r="J68" s="168">
        <v>7492</v>
      </c>
      <c r="K68" s="168">
        <v>8805</v>
      </c>
      <c r="L68" s="168"/>
      <c r="M68" s="168">
        <v>5534</v>
      </c>
      <c r="N68" s="163">
        <f t="shared" si="5"/>
        <v>0</v>
      </c>
      <c r="O68" s="168"/>
      <c r="P68" s="168"/>
      <c r="Q68" s="168"/>
      <c r="R68" s="168"/>
      <c r="S68" s="168"/>
      <c r="T68" s="163">
        <f t="shared" si="3"/>
        <v>23193</v>
      </c>
      <c r="U68" s="168">
        <f>SUM(U69:U76)</f>
        <v>8571</v>
      </c>
      <c r="V68" s="168">
        <f>SUM(V69:V76)</f>
        <v>2568</v>
      </c>
      <c r="W68" s="168">
        <f>SUM(W69:W76)</f>
        <v>0</v>
      </c>
      <c r="X68" s="168">
        <f>SUM(X69:X76)</f>
        <v>12054</v>
      </c>
      <c r="Y68" s="163">
        <f t="shared" si="6"/>
        <v>0</v>
      </c>
      <c r="Z68" s="168"/>
      <c r="AA68" s="168"/>
      <c r="AB68" s="168"/>
      <c r="AC68" s="168"/>
      <c r="AD68" s="228"/>
      <c r="AE68" s="163">
        <f t="shared" si="7"/>
        <v>24681</v>
      </c>
      <c r="AF68" s="168">
        <f>SUM(AF69:AF76)</f>
        <v>9360</v>
      </c>
      <c r="AG68" s="168">
        <f>SUM(AG69:AG76)</f>
        <v>2535</v>
      </c>
      <c r="AH68" s="168">
        <f>SUM(AH69:AH76)</f>
        <v>0</v>
      </c>
      <c r="AI68" s="168">
        <f>SUM(AI69:AI76)</f>
        <v>12786</v>
      </c>
      <c r="AJ68" s="56"/>
      <c r="AK68" s="27"/>
    </row>
    <row r="69" spans="1:37" s="28" customFormat="1" x14ac:dyDescent="0.25">
      <c r="A69" s="60">
        <v>1.1000000000000001</v>
      </c>
      <c r="B69" s="50" t="s">
        <v>99</v>
      </c>
      <c r="C69" s="165">
        <f t="shared" si="4"/>
        <v>9194</v>
      </c>
      <c r="D69" s="58"/>
      <c r="E69" s="58"/>
      <c r="F69" s="58">
        <v>1287</v>
      </c>
      <c r="G69" s="58">
        <f>7613+260+34</f>
        <v>7907</v>
      </c>
      <c r="H69" s="165">
        <f>J69/27</f>
        <v>53.962962962962962</v>
      </c>
      <c r="I69" s="163">
        <f t="shared" si="2"/>
        <v>3730</v>
      </c>
      <c r="J69" s="163">
        <v>1457</v>
      </c>
      <c r="K69" s="163">
        <v>473</v>
      </c>
      <c r="L69" s="168"/>
      <c r="M69" s="163">
        <f>1600+200</f>
        <v>1800</v>
      </c>
      <c r="N69" s="163">
        <f t="shared" si="5"/>
        <v>10481</v>
      </c>
      <c r="O69" s="168"/>
      <c r="P69" s="168"/>
      <c r="Q69" s="168">
        <v>1287</v>
      </c>
      <c r="R69" s="168">
        <f>8900+260+34</f>
        <v>9194</v>
      </c>
      <c r="S69" s="168">
        <f>U69/26</f>
        <v>62.346153846153847</v>
      </c>
      <c r="T69" s="163">
        <f t="shared" si="3"/>
        <v>6347</v>
      </c>
      <c r="U69" s="163">
        <v>1621</v>
      </c>
      <c r="V69" s="163">
        <v>577</v>
      </c>
      <c r="W69" s="168"/>
      <c r="X69" s="163">
        <v>4149</v>
      </c>
      <c r="Y69" s="163">
        <f t="shared" si="6"/>
        <v>29501</v>
      </c>
      <c r="Z69" s="163">
        <v>1434</v>
      </c>
      <c r="AA69" s="163">
        <v>7143</v>
      </c>
      <c r="AB69" s="163">
        <f>5916</f>
        <v>5916</v>
      </c>
      <c r="AC69" s="163">
        <f>14517+34+389+68</f>
        <v>15008</v>
      </c>
      <c r="AD69" s="225">
        <f>(AF69+726)/43</f>
        <v>89.813953488372093</v>
      </c>
      <c r="AE69" s="163">
        <f t="shared" si="7"/>
        <v>11048</v>
      </c>
      <c r="AF69" s="163">
        <v>3136</v>
      </c>
      <c r="AG69" s="163">
        <v>1012</v>
      </c>
      <c r="AH69" s="163"/>
      <c r="AI69" s="163">
        <v>6900</v>
      </c>
      <c r="AJ69" s="56"/>
      <c r="AK69" s="27"/>
    </row>
    <row r="70" spans="1:37" x14ac:dyDescent="0.25">
      <c r="A70" s="60">
        <v>1.2</v>
      </c>
      <c r="B70" s="50" t="s">
        <v>101</v>
      </c>
      <c r="C70" s="165">
        <f t="shared" si="4"/>
        <v>123555</v>
      </c>
      <c r="D70" s="163">
        <v>23306</v>
      </c>
      <c r="E70" s="166"/>
      <c r="F70" s="166">
        <v>309</v>
      </c>
      <c r="G70" s="163">
        <f>3934+552+173+269+95012</f>
        <v>99940</v>
      </c>
      <c r="H70" s="174">
        <f>J70/25</f>
        <v>55.32</v>
      </c>
      <c r="I70" s="163">
        <f t="shared" si="2"/>
        <v>3107</v>
      </c>
      <c r="J70" s="163">
        <v>1383</v>
      </c>
      <c r="K70" s="163">
        <v>424</v>
      </c>
      <c r="L70" s="163"/>
      <c r="M70" s="163">
        <v>1300</v>
      </c>
      <c r="N70" s="163">
        <f t="shared" si="5"/>
        <v>123637</v>
      </c>
      <c r="O70" s="163">
        <v>23306</v>
      </c>
      <c r="P70" s="163"/>
      <c r="Q70" s="163">
        <v>309</v>
      </c>
      <c r="R70" s="163">
        <f>4016+552+173+269+95012</f>
        <v>100022</v>
      </c>
      <c r="S70" s="163">
        <f>U70/25</f>
        <v>71.959999999999994</v>
      </c>
      <c r="T70" s="163">
        <f t="shared" si="3"/>
        <v>3849</v>
      </c>
      <c r="U70" s="163">
        <v>1799</v>
      </c>
      <c r="V70" s="163">
        <v>551</v>
      </c>
      <c r="W70" s="163"/>
      <c r="X70" s="163">
        <v>1499</v>
      </c>
      <c r="Y70" s="163">
        <f t="shared" si="6"/>
        <v>174432</v>
      </c>
      <c r="Z70" s="163">
        <v>72571</v>
      </c>
      <c r="AA70" s="163"/>
      <c r="AB70" s="163">
        <v>309</v>
      </c>
      <c r="AC70" s="163">
        <f>5534+95012+552+173+281</f>
        <v>101552</v>
      </c>
      <c r="AD70" s="225">
        <f>(AF70+505)/35</f>
        <v>76.857142857142861</v>
      </c>
      <c r="AE70" s="163">
        <f t="shared" si="7"/>
        <v>5494</v>
      </c>
      <c r="AF70" s="163">
        <v>2185</v>
      </c>
      <c r="AG70" s="163">
        <v>809</v>
      </c>
      <c r="AH70" s="163"/>
      <c r="AI70" s="163">
        <v>2500</v>
      </c>
      <c r="AJ70" s="48"/>
      <c r="AK70" s="26"/>
    </row>
    <row r="71" spans="1:37" x14ac:dyDescent="0.25">
      <c r="A71" s="60">
        <v>1.3</v>
      </c>
      <c r="B71" s="50" t="s">
        <v>100</v>
      </c>
      <c r="C71" s="165">
        <f t="shared" si="4"/>
        <v>23680</v>
      </c>
      <c r="D71" s="163">
        <v>4629</v>
      </c>
      <c r="E71" s="166"/>
      <c r="F71" s="166"/>
      <c r="G71" s="163">
        <f>613+975+6992+10471</f>
        <v>19051</v>
      </c>
      <c r="H71" s="174">
        <f>J71/23</f>
        <v>55.304347826086953</v>
      </c>
      <c r="I71" s="163">
        <f t="shared" si="2"/>
        <v>3000</v>
      </c>
      <c r="J71" s="163">
        <v>1272</v>
      </c>
      <c r="K71" s="163">
        <v>293</v>
      </c>
      <c r="L71" s="163"/>
      <c r="M71" s="163">
        <f>1200+235</f>
        <v>1435</v>
      </c>
      <c r="N71" s="163">
        <f t="shared" si="5"/>
        <v>24924</v>
      </c>
      <c r="O71" s="163">
        <v>4629</v>
      </c>
      <c r="P71" s="163"/>
      <c r="Q71" s="163"/>
      <c r="R71" s="163">
        <f>482+1024+8318+10471</f>
        <v>20295</v>
      </c>
      <c r="S71" s="163">
        <f>U71/23</f>
        <v>62.217391304347828</v>
      </c>
      <c r="T71" s="163">
        <f t="shared" si="3"/>
        <v>3528</v>
      </c>
      <c r="U71" s="163">
        <v>1431</v>
      </c>
      <c r="V71" s="163">
        <v>411</v>
      </c>
      <c r="W71" s="163"/>
      <c r="X71" s="163">
        <v>1686</v>
      </c>
      <c r="Y71" s="163">
        <f t="shared" si="6"/>
        <v>17176</v>
      </c>
      <c r="Z71" s="163">
        <v>5697</v>
      </c>
      <c r="AA71" s="163"/>
      <c r="AB71" s="163">
        <v>522</v>
      </c>
      <c r="AC71" s="163">
        <f>417+10540</f>
        <v>10957</v>
      </c>
      <c r="AD71" s="225">
        <f>(AF71+317)/21</f>
        <v>80.238095238095241</v>
      </c>
      <c r="AE71" s="163">
        <f t="shared" si="7"/>
        <v>3437</v>
      </c>
      <c r="AF71" s="163">
        <v>1368</v>
      </c>
      <c r="AG71" s="163">
        <v>383</v>
      </c>
      <c r="AH71" s="163"/>
      <c r="AI71" s="163">
        <v>1686</v>
      </c>
      <c r="AJ71" s="48"/>
      <c r="AK71" s="26"/>
    </row>
    <row r="72" spans="1:37" ht="24" x14ac:dyDescent="0.25">
      <c r="A72" s="60">
        <v>1.4</v>
      </c>
      <c r="B72" s="50" t="s">
        <v>198</v>
      </c>
      <c r="C72" s="165">
        <f t="shared" si="4"/>
        <v>3877</v>
      </c>
      <c r="D72" s="166">
        <v>1460</v>
      </c>
      <c r="E72" s="166"/>
      <c r="F72" s="166">
        <v>887</v>
      </c>
      <c r="G72" s="166">
        <v>1530</v>
      </c>
      <c r="H72" s="174">
        <f>J72/17</f>
        <v>59.352941176470587</v>
      </c>
      <c r="I72" s="163">
        <f t="shared" si="2"/>
        <v>1790</v>
      </c>
      <c r="J72" s="163">
        <v>1009</v>
      </c>
      <c r="K72" s="163">
        <v>181</v>
      </c>
      <c r="L72" s="163"/>
      <c r="M72" s="163">
        <v>600</v>
      </c>
      <c r="N72" s="163">
        <f t="shared" si="5"/>
        <v>4995</v>
      </c>
      <c r="O72" s="163">
        <v>1460</v>
      </c>
      <c r="P72" s="163"/>
      <c r="Q72" s="163">
        <v>887</v>
      </c>
      <c r="R72" s="163">
        <f>2648</f>
        <v>2648</v>
      </c>
      <c r="S72" s="163">
        <f>U72/17</f>
        <v>62.176470588235297</v>
      </c>
      <c r="T72" s="163">
        <f t="shared" si="3"/>
        <v>2551</v>
      </c>
      <c r="U72" s="163">
        <v>1057</v>
      </c>
      <c r="V72" s="163">
        <v>244</v>
      </c>
      <c r="W72" s="163"/>
      <c r="X72" s="163">
        <v>1250</v>
      </c>
      <c r="Y72" s="163">
        <f t="shared" si="6"/>
        <v>5821</v>
      </c>
      <c r="Z72" s="163">
        <v>1460</v>
      </c>
      <c r="AA72" s="163"/>
      <c r="AB72" s="163">
        <v>1633</v>
      </c>
      <c r="AC72" s="163">
        <f>2728</f>
        <v>2728</v>
      </c>
      <c r="AD72" s="225">
        <f>(AF72+211)/15</f>
        <v>74.86666666666666</v>
      </c>
      <c r="AE72" s="163">
        <f t="shared" si="7"/>
        <v>2943</v>
      </c>
      <c r="AF72" s="163">
        <v>912</v>
      </c>
      <c r="AG72" s="163">
        <v>331</v>
      </c>
      <c r="AH72" s="163"/>
      <c r="AI72" s="163">
        <v>1700</v>
      </c>
      <c r="AJ72" s="48"/>
      <c r="AK72" s="26"/>
    </row>
    <row r="73" spans="1:37" x14ac:dyDescent="0.25">
      <c r="A73" s="60">
        <v>1.5</v>
      </c>
      <c r="B73" s="50" t="s">
        <v>102</v>
      </c>
      <c r="C73" s="165">
        <f t="shared" si="4"/>
        <v>0</v>
      </c>
      <c r="D73" s="166"/>
      <c r="E73" s="166"/>
      <c r="F73" s="166"/>
      <c r="G73" s="166"/>
      <c r="H73" s="166"/>
      <c r="I73" s="163">
        <f t="shared" si="2"/>
        <v>0</v>
      </c>
      <c r="J73" s="163"/>
      <c r="K73" s="163"/>
      <c r="L73" s="163"/>
      <c r="M73" s="163"/>
      <c r="N73" s="163">
        <f t="shared" si="5"/>
        <v>0</v>
      </c>
      <c r="O73" s="163"/>
      <c r="P73" s="163"/>
      <c r="Q73" s="163"/>
      <c r="R73" s="163"/>
      <c r="S73" s="163"/>
      <c r="T73" s="163">
        <f t="shared" si="3"/>
        <v>0</v>
      </c>
      <c r="U73" s="163"/>
      <c r="V73" s="163"/>
      <c r="W73" s="163"/>
      <c r="X73" s="163"/>
      <c r="Y73" s="163">
        <f t="shared" si="6"/>
        <v>0</v>
      </c>
      <c r="Z73" s="163"/>
      <c r="AA73" s="163"/>
      <c r="AB73" s="163"/>
      <c r="AC73" s="163"/>
      <c r="AD73" s="225"/>
      <c r="AE73" s="163">
        <f t="shared" si="7"/>
        <v>0</v>
      </c>
      <c r="AF73" s="163"/>
      <c r="AG73" s="163"/>
      <c r="AH73" s="163"/>
      <c r="AI73" s="163"/>
      <c r="AJ73" s="48"/>
      <c r="AK73" s="26"/>
    </row>
    <row r="74" spans="1:37" ht="24" x14ac:dyDescent="0.25">
      <c r="A74" s="60">
        <v>1.6</v>
      </c>
      <c r="B74" s="50" t="s">
        <v>103</v>
      </c>
      <c r="C74" s="165">
        <f t="shared" si="4"/>
        <v>0</v>
      </c>
      <c r="D74" s="166"/>
      <c r="E74" s="166"/>
      <c r="F74" s="166"/>
      <c r="G74" s="166"/>
      <c r="H74" s="166"/>
      <c r="I74" s="163">
        <f t="shared" si="2"/>
        <v>0</v>
      </c>
      <c r="J74" s="163"/>
      <c r="K74" s="163"/>
      <c r="L74" s="163"/>
      <c r="M74" s="163"/>
      <c r="N74" s="163">
        <f t="shared" si="5"/>
        <v>0</v>
      </c>
      <c r="O74" s="163"/>
      <c r="P74" s="163"/>
      <c r="Q74" s="163"/>
      <c r="R74" s="163"/>
      <c r="S74" s="163"/>
      <c r="T74" s="163">
        <f t="shared" si="3"/>
        <v>0</v>
      </c>
      <c r="U74" s="163"/>
      <c r="V74" s="163"/>
      <c r="W74" s="163"/>
      <c r="X74" s="163"/>
      <c r="Y74" s="163">
        <f t="shared" si="6"/>
        <v>0</v>
      </c>
      <c r="Z74" s="163"/>
      <c r="AA74" s="163"/>
      <c r="AB74" s="163"/>
      <c r="AC74" s="163"/>
      <c r="AD74" s="225"/>
      <c r="AE74" s="163">
        <f t="shared" si="7"/>
        <v>1759</v>
      </c>
      <c r="AF74" s="163">
        <f>1759</f>
        <v>1759</v>
      </c>
      <c r="AG74" s="163"/>
      <c r="AH74" s="163"/>
      <c r="AI74" s="163"/>
      <c r="AJ74" s="48"/>
      <c r="AK74" s="26"/>
    </row>
    <row r="75" spans="1:37" x14ac:dyDescent="0.25">
      <c r="A75" s="60">
        <v>1.7</v>
      </c>
      <c r="B75" s="50" t="s">
        <v>180</v>
      </c>
      <c r="C75" s="165">
        <f t="shared" si="4"/>
        <v>13516</v>
      </c>
      <c r="D75" s="166">
        <v>1434</v>
      </c>
      <c r="E75" s="166"/>
      <c r="F75" s="166">
        <v>1634</v>
      </c>
      <c r="G75" s="163">
        <f>3069+162+74+7143</f>
        <v>10448</v>
      </c>
      <c r="H75" s="174">
        <f>J75/30</f>
        <v>56.666666666666664</v>
      </c>
      <c r="I75" s="163">
        <f t="shared" si="2"/>
        <v>4211</v>
      </c>
      <c r="J75" s="163">
        <v>1700</v>
      </c>
      <c r="K75" s="163">
        <v>511</v>
      </c>
      <c r="L75" s="163"/>
      <c r="M75" s="163">
        <v>2000</v>
      </c>
      <c r="N75" s="163">
        <f t="shared" si="5"/>
        <v>15179</v>
      </c>
      <c r="O75" s="163">
        <v>1434</v>
      </c>
      <c r="P75" s="163"/>
      <c r="Q75" s="163">
        <v>1634</v>
      </c>
      <c r="R75" s="163">
        <f>4738+162+68+7143</f>
        <v>12111</v>
      </c>
      <c r="S75" s="163">
        <f>U75/30</f>
        <v>66.63333333333334</v>
      </c>
      <c r="T75" s="163">
        <f t="shared" si="3"/>
        <v>5356</v>
      </c>
      <c r="U75" s="163">
        <v>1999</v>
      </c>
      <c r="V75" s="163">
        <v>617</v>
      </c>
      <c r="W75" s="163"/>
      <c r="X75" s="163">
        <v>2740</v>
      </c>
      <c r="Y75" s="163">
        <f t="shared" si="6"/>
        <v>0</v>
      </c>
      <c r="Z75" s="163"/>
      <c r="AA75" s="163"/>
      <c r="AB75" s="163"/>
      <c r="AC75" s="163"/>
      <c r="AD75" s="225"/>
      <c r="AE75" s="163">
        <f t="shared" si="7"/>
        <v>0</v>
      </c>
      <c r="AF75" s="163"/>
      <c r="AG75" s="163"/>
      <c r="AH75" s="163"/>
      <c r="AI75" s="163"/>
      <c r="AJ75" s="48"/>
      <c r="AK75" s="26"/>
    </row>
    <row r="76" spans="1:37" x14ac:dyDescent="0.25">
      <c r="A76" s="60">
        <v>1.8</v>
      </c>
      <c r="B76" s="50" t="s">
        <v>199</v>
      </c>
      <c r="C76" s="165">
        <f t="shared" si="4"/>
        <v>2234</v>
      </c>
      <c r="D76" s="163">
        <v>2016</v>
      </c>
      <c r="E76" s="166"/>
      <c r="F76" s="166"/>
      <c r="G76" s="166">
        <f>165+39+14</f>
        <v>218</v>
      </c>
      <c r="H76" s="174">
        <f>J76/7</f>
        <v>95.857142857142861</v>
      </c>
      <c r="I76" s="163">
        <f t="shared" si="2"/>
        <v>1486</v>
      </c>
      <c r="J76" s="163">
        <v>671</v>
      </c>
      <c r="K76" s="163">
        <v>165</v>
      </c>
      <c r="L76" s="163"/>
      <c r="M76" s="163">
        <v>650</v>
      </c>
      <c r="N76" s="163">
        <f t="shared" si="5"/>
        <v>2291</v>
      </c>
      <c r="O76" s="163">
        <v>2016</v>
      </c>
      <c r="P76" s="163"/>
      <c r="Q76" s="163"/>
      <c r="R76" s="163">
        <f>190+71+14</f>
        <v>275</v>
      </c>
      <c r="S76" s="163">
        <f>U76/7</f>
        <v>94.857142857142861</v>
      </c>
      <c r="T76" s="163">
        <f t="shared" si="3"/>
        <v>1562</v>
      </c>
      <c r="U76" s="163">
        <v>664</v>
      </c>
      <c r="V76" s="163">
        <v>168</v>
      </c>
      <c r="W76" s="163"/>
      <c r="X76" s="163">
        <v>730</v>
      </c>
      <c r="Y76" s="163">
        <f t="shared" si="6"/>
        <v>0</v>
      </c>
      <c r="Z76" s="163"/>
      <c r="AA76" s="163"/>
      <c r="AB76" s="163"/>
      <c r="AC76" s="163"/>
      <c r="AD76" s="225"/>
      <c r="AE76" s="163">
        <f t="shared" si="7"/>
        <v>0</v>
      </c>
      <c r="AF76" s="163"/>
      <c r="AG76" s="163"/>
      <c r="AH76" s="163"/>
      <c r="AI76" s="163"/>
      <c r="AJ76" s="48"/>
      <c r="AK76" s="26"/>
    </row>
    <row r="77" spans="1:37" ht="24" x14ac:dyDescent="0.25">
      <c r="A77" s="60">
        <v>2</v>
      </c>
      <c r="B77" s="50" t="s">
        <v>221</v>
      </c>
      <c r="C77" s="165">
        <f t="shared" si="4"/>
        <v>444716.11167430005</v>
      </c>
      <c r="D77" s="163">
        <v>97083.868881999995</v>
      </c>
      <c r="E77" s="166">
        <v>314407.38000000006</v>
      </c>
      <c r="F77" s="166">
        <v>4607.6455999999998</v>
      </c>
      <c r="G77" s="166">
        <v>28617.217192300002</v>
      </c>
      <c r="H77" s="174">
        <v>562.40992333333338</v>
      </c>
      <c r="I77" s="163">
        <f t="shared" si="2"/>
        <v>23343.683400000002</v>
      </c>
      <c r="J77" s="163">
        <v>9704.7808999999997</v>
      </c>
      <c r="K77" s="163">
        <v>6659.9094999999998</v>
      </c>
      <c r="L77" s="163">
        <v>643</v>
      </c>
      <c r="M77" s="163">
        <v>6335.9930000000004</v>
      </c>
      <c r="N77" s="163">
        <f t="shared" si="5"/>
        <v>482238.73652199999</v>
      </c>
      <c r="O77" s="163">
        <v>115263.618882</v>
      </c>
      <c r="P77" s="163">
        <v>321373.43</v>
      </c>
      <c r="Q77" s="163">
        <v>6033.0455999999995</v>
      </c>
      <c r="R77" s="163">
        <v>39568.642039999999</v>
      </c>
      <c r="S77" s="163">
        <v>588.9965778699725</v>
      </c>
      <c r="T77" s="163">
        <f t="shared" si="3"/>
        <v>21222.106236</v>
      </c>
      <c r="U77" s="163">
        <v>8887.1382359999989</v>
      </c>
      <c r="V77" s="163">
        <v>6934.5680000000002</v>
      </c>
      <c r="W77" s="163">
        <v>0</v>
      </c>
      <c r="X77" s="163">
        <v>5400.4</v>
      </c>
      <c r="Y77" s="163">
        <f t="shared" si="6"/>
        <v>656714.82968199986</v>
      </c>
      <c r="Z77" s="163">
        <v>167860.41388199999</v>
      </c>
      <c r="AA77" s="163">
        <v>366026.05</v>
      </c>
      <c r="AB77" s="163">
        <v>6071.3225999999995</v>
      </c>
      <c r="AC77" s="163">
        <v>116757.0432</v>
      </c>
      <c r="AD77" s="225">
        <v>769.63004679471408</v>
      </c>
      <c r="AE77" s="163">
        <f t="shared" si="7"/>
        <v>45290.14</v>
      </c>
      <c r="AF77" s="163">
        <v>14640.126</v>
      </c>
      <c r="AG77" s="163">
        <v>10601.23</v>
      </c>
      <c r="AH77" s="163">
        <v>1941</v>
      </c>
      <c r="AI77" s="163">
        <v>18107.784</v>
      </c>
      <c r="AJ77" s="48"/>
      <c r="AK77" s="82"/>
    </row>
    <row r="78" spans="1:37" x14ac:dyDescent="0.25">
      <c r="A78" s="60">
        <v>3</v>
      </c>
      <c r="B78" s="50" t="s">
        <v>179</v>
      </c>
      <c r="C78" s="165">
        <f t="shared" si="4"/>
        <v>3779</v>
      </c>
      <c r="D78" s="166">
        <v>3161</v>
      </c>
      <c r="E78" s="166">
        <v>0</v>
      </c>
      <c r="F78" s="166">
        <v>0</v>
      </c>
      <c r="G78" s="166">
        <v>618</v>
      </c>
      <c r="H78" s="166">
        <v>0</v>
      </c>
      <c r="I78" s="163">
        <f t="shared" ref="I78:I142" si="27">SUM(J78:M78)</f>
        <v>223</v>
      </c>
      <c r="J78" s="166">
        <v>223</v>
      </c>
      <c r="K78" s="166">
        <v>0</v>
      </c>
      <c r="L78" s="166">
        <v>0</v>
      </c>
      <c r="M78" s="166">
        <v>0</v>
      </c>
      <c r="N78" s="163">
        <f t="shared" si="5"/>
        <v>3991</v>
      </c>
      <c r="O78" s="166">
        <v>3161</v>
      </c>
      <c r="P78" s="166">
        <v>0</v>
      </c>
      <c r="Q78" s="166">
        <v>0</v>
      </c>
      <c r="R78" s="166">
        <v>830</v>
      </c>
      <c r="S78" s="166">
        <v>0</v>
      </c>
      <c r="T78" s="163">
        <f t="shared" ref="T78:T142" si="28">SUM(U78:X78)</f>
        <v>6760</v>
      </c>
      <c r="U78" s="163">
        <v>1837</v>
      </c>
      <c r="V78" s="163">
        <v>1983</v>
      </c>
      <c r="W78" s="163">
        <v>1470</v>
      </c>
      <c r="X78" s="163">
        <v>1470</v>
      </c>
      <c r="Y78" s="163">
        <f t="shared" si="6"/>
        <v>9756</v>
      </c>
      <c r="Z78" s="163">
        <v>4670</v>
      </c>
      <c r="AA78" s="163">
        <v>1470</v>
      </c>
      <c r="AB78" s="163">
        <v>1470</v>
      </c>
      <c r="AC78" s="163">
        <v>2146</v>
      </c>
      <c r="AD78" s="225">
        <v>1470</v>
      </c>
      <c r="AE78" s="163">
        <f t="shared" si="7"/>
        <v>6821</v>
      </c>
      <c r="AF78" s="163">
        <v>1822</v>
      </c>
      <c r="AG78" s="163">
        <v>1960</v>
      </c>
      <c r="AH78" s="163">
        <v>1470</v>
      </c>
      <c r="AI78" s="163">
        <v>1569</v>
      </c>
      <c r="AJ78" s="48"/>
      <c r="AK78" s="26"/>
    </row>
    <row r="79" spans="1:37" s="22" customFormat="1" ht="34.9" customHeight="1" x14ac:dyDescent="0.2">
      <c r="A79" s="46" t="s">
        <v>19</v>
      </c>
      <c r="B79" s="47" t="s">
        <v>82</v>
      </c>
      <c r="C79" s="162">
        <f t="shared" ref="C79:C143" si="29">SUM(D79:G79)</f>
        <v>2504824.6938780001</v>
      </c>
      <c r="D79" s="175">
        <f>+D80+D92+D101+D102+D103+D105+D110+D115+D116</f>
        <v>700289.15508000006</v>
      </c>
      <c r="E79" s="175">
        <f t="shared" ref="E79:AI79" si="30">+E80+E92+E101+E102+E103+E105+E110+E115+E116</f>
        <v>1492419.240798</v>
      </c>
      <c r="F79" s="175">
        <f t="shared" si="30"/>
        <v>104665.04999999999</v>
      </c>
      <c r="G79" s="175">
        <f t="shared" si="30"/>
        <v>207451.24800000002</v>
      </c>
      <c r="H79" s="175">
        <f t="shared" si="30"/>
        <v>45812.240573316223</v>
      </c>
      <c r="I79" s="175">
        <f t="shared" si="30"/>
        <v>1463413.3228420001</v>
      </c>
      <c r="J79" s="175">
        <f t="shared" si="30"/>
        <v>625747.63183600002</v>
      </c>
      <c r="K79" s="175">
        <f t="shared" si="30"/>
        <v>172525.16300599999</v>
      </c>
      <c r="L79" s="175">
        <f t="shared" si="30"/>
        <v>412566.00800000003</v>
      </c>
      <c r="M79" s="175">
        <f t="shared" si="30"/>
        <v>252574.52000000002</v>
      </c>
      <c r="N79" s="175">
        <f t="shared" si="30"/>
        <v>2769075.539384</v>
      </c>
      <c r="O79" s="175">
        <f t="shared" si="30"/>
        <v>1084599.1402289998</v>
      </c>
      <c r="P79" s="175">
        <f t="shared" si="30"/>
        <v>1245830.3365</v>
      </c>
      <c r="Q79" s="175">
        <f t="shared" si="30"/>
        <v>138355.51757199998</v>
      </c>
      <c r="R79" s="175">
        <f t="shared" si="30"/>
        <v>300290.54508300003</v>
      </c>
      <c r="S79" s="175">
        <f t="shared" si="30"/>
        <v>64215.103302244162</v>
      </c>
      <c r="T79" s="175">
        <f t="shared" ca="1" si="30"/>
        <v>700289.15508000006</v>
      </c>
      <c r="U79" s="175">
        <f t="shared" ca="1" si="30"/>
        <v>700289.15508000006</v>
      </c>
      <c r="V79" s="175">
        <f t="shared" ca="1" si="30"/>
        <v>700289.15508000006</v>
      </c>
      <c r="W79" s="175">
        <f t="shared" si="30"/>
        <v>714968.098</v>
      </c>
      <c r="X79" s="175">
        <f t="shared" si="30"/>
        <v>194021.45199999999</v>
      </c>
      <c r="Y79" s="175">
        <f t="shared" si="30"/>
        <v>3028482.0145680001</v>
      </c>
      <c r="Z79" s="175">
        <f t="shared" si="30"/>
        <v>1095071.7719999999</v>
      </c>
      <c r="AA79" s="175">
        <f t="shared" si="30"/>
        <v>1467344.1880000001</v>
      </c>
      <c r="AB79" s="175">
        <f t="shared" si="30"/>
        <v>133975.93899999998</v>
      </c>
      <c r="AC79" s="175">
        <f t="shared" si="30"/>
        <v>332090.11556800007</v>
      </c>
      <c r="AD79" s="230">
        <f t="shared" si="30"/>
        <v>89924.686145951171</v>
      </c>
      <c r="AE79" s="175">
        <f t="shared" si="30"/>
        <v>3343109.3650000002</v>
      </c>
      <c r="AF79" s="175">
        <f t="shared" si="30"/>
        <v>862803.09600000002</v>
      </c>
      <c r="AG79" s="175">
        <f t="shared" si="30"/>
        <v>164186.07400000002</v>
      </c>
      <c r="AH79" s="175">
        <f t="shared" si="30"/>
        <v>1811014.9700000002</v>
      </c>
      <c r="AI79" s="175">
        <f t="shared" si="30"/>
        <v>505105.22499999998</v>
      </c>
      <c r="AJ79" s="137"/>
      <c r="AK79" s="31"/>
    </row>
    <row r="80" spans="1:37" s="22" customFormat="1" ht="19.899999999999999" customHeight="1" x14ac:dyDescent="0.2">
      <c r="A80" s="46" t="s">
        <v>140</v>
      </c>
      <c r="B80" s="47" t="s">
        <v>83</v>
      </c>
      <c r="C80" s="162">
        <f t="shared" si="29"/>
        <v>31023.334000000003</v>
      </c>
      <c r="D80" s="173">
        <f>+D81</f>
        <v>22116.186000000002</v>
      </c>
      <c r="E80" s="173">
        <f t="shared" ref="E80:AJ80" si="31">+E81</f>
        <v>2171.3999999999996</v>
      </c>
      <c r="F80" s="173">
        <f t="shared" si="31"/>
        <v>141.9</v>
      </c>
      <c r="G80" s="173">
        <f t="shared" si="31"/>
        <v>6593.848</v>
      </c>
      <c r="H80" s="173">
        <f t="shared" si="31"/>
        <v>699.75079333333326</v>
      </c>
      <c r="I80" s="173">
        <f t="shared" si="31"/>
        <v>60145.190062000001</v>
      </c>
      <c r="J80" s="173">
        <f t="shared" si="31"/>
        <v>12525.535899999999</v>
      </c>
      <c r="K80" s="173">
        <f t="shared" si="31"/>
        <v>11557.018161999998</v>
      </c>
      <c r="L80" s="173">
        <f t="shared" si="31"/>
        <v>5994</v>
      </c>
      <c r="M80" s="173">
        <f t="shared" si="31"/>
        <v>30068.635999999999</v>
      </c>
      <c r="N80" s="173">
        <f t="shared" si="31"/>
        <v>40259.688724</v>
      </c>
      <c r="O80" s="173">
        <f t="shared" si="31"/>
        <v>25108.848181000001</v>
      </c>
      <c r="P80" s="173">
        <f t="shared" si="31"/>
        <v>2818.1025</v>
      </c>
      <c r="Q80" s="173">
        <f t="shared" si="31"/>
        <v>96</v>
      </c>
      <c r="R80" s="173">
        <f t="shared" si="31"/>
        <v>12236.738043000001</v>
      </c>
      <c r="S80" s="173">
        <f t="shared" si="31"/>
        <v>757.53142213799549</v>
      </c>
      <c r="T80" s="173">
        <f t="shared" si="31"/>
        <v>80628.974646999995</v>
      </c>
      <c r="U80" s="173">
        <f t="shared" si="31"/>
        <v>17270.073402000002</v>
      </c>
      <c r="V80" s="173">
        <f t="shared" si="31"/>
        <v>15601.555244999998</v>
      </c>
      <c r="W80" s="173">
        <f t="shared" si="31"/>
        <v>3231</v>
      </c>
      <c r="X80" s="173">
        <f t="shared" si="31"/>
        <v>44526.345999999998</v>
      </c>
      <c r="Y80" s="173">
        <f t="shared" si="31"/>
        <v>112244.122</v>
      </c>
      <c r="Z80" s="173">
        <f t="shared" si="31"/>
        <v>31698.111000000001</v>
      </c>
      <c r="AA80" s="173">
        <f t="shared" si="31"/>
        <v>73802.497999999992</v>
      </c>
      <c r="AB80" s="173">
        <f t="shared" si="31"/>
        <v>16</v>
      </c>
      <c r="AC80" s="173">
        <f t="shared" si="31"/>
        <v>6727.5129999999999</v>
      </c>
      <c r="AD80" s="231">
        <f t="shared" si="31"/>
        <v>776.57350301920303</v>
      </c>
      <c r="AE80" s="173">
        <f t="shared" si="31"/>
        <v>97136.418999999994</v>
      </c>
      <c r="AF80" s="173">
        <f t="shared" si="31"/>
        <v>21064.262000000002</v>
      </c>
      <c r="AG80" s="173">
        <f t="shared" si="31"/>
        <v>12806.248</v>
      </c>
      <c r="AH80" s="173">
        <f t="shared" si="31"/>
        <v>2390</v>
      </c>
      <c r="AI80" s="173">
        <f t="shared" si="31"/>
        <v>60875.909</v>
      </c>
      <c r="AJ80" s="44">
        <f t="shared" si="31"/>
        <v>0</v>
      </c>
      <c r="AK80" s="21"/>
    </row>
    <row r="81" spans="1:40" ht="36" customHeight="1" x14ac:dyDescent="0.25">
      <c r="A81" s="129">
        <v>1</v>
      </c>
      <c r="B81" s="130" t="s">
        <v>109</v>
      </c>
      <c r="C81" s="165">
        <f t="shared" si="29"/>
        <v>31023.334000000003</v>
      </c>
      <c r="D81" s="173">
        <f>SUM(D82:D91)</f>
        <v>22116.186000000002</v>
      </c>
      <c r="E81" s="173">
        <f t="shared" ref="E81:H81" si="32">SUM(E82:E91)</f>
        <v>2171.3999999999996</v>
      </c>
      <c r="F81" s="173">
        <f t="shared" si="32"/>
        <v>141.9</v>
      </c>
      <c r="G81" s="173">
        <f t="shared" si="32"/>
        <v>6593.848</v>
      </c>
      <c r="H81" s="173">
        <f t="shared" si="32"/>
        <v>699.75079333333326</v>
      </c>
      <c r="I81" s="176">
        <f>SUM(I82:I91)</f>
        <v>60145.190062000001</v>
      </c>
      <c r="J81" s="176">
        <f t="shared" ref="J81:AJ81" si="33">SUM(J82:J91)</f>
        <v>12525.535899999999</v>
      </c>
      <c r="K81" s="176">
        <f t="shared" si="33"/>
        <v>11557.018161999998</v>
      </c>
      <c r="L81" s="176">
        <f t="shared" si="33"/>
        <v>5994</v>
      </c>
      <c r="M81" s="176">
        <f t="shared" si="33"/>
        <v>30068.635999999999</v>
      </c>
      <c r="N81" s="176">
        <f t="shared" si="33"/>
        <v>40259.688724</v>
      </c>
      <c r="O81" s="176">
        <f t="shared" si="33"/>
        <v>25108.848181000001</v>
      </c>
      <c r="P81" s="176">
        <f t="shared" si="33"/>
        <v>2818.1025</v>
      </c>
      <c r="Q81" s="176">
        <f t="shared" si="33"/>
        <v>96</v>
      </c>
      <c r="R81" s="176">
        <f t="shared" si="33"/>
        <v>12236.738043000001</v>
      </c>
      <c r="S81" s="176">
        <f t="shared" si="33"/>
        <v>757.53142213799549</v>
      </c>
      <c r="T81" s="176">
        <f t="shared" si="33"/>
        <v>80628.974646999995</v>
      </c>
      <c r="U81" s="176">
        <f t="shared" si="33"/>
        <v>17270.073402000002</v>
      </c>
      <c r="V81" s="176">
        <f t="shared" si="33"/>
        <v>15601.555244999998</v>
      </c>
      <c r="W81" s="176">
        <f t="shared" si="33"/>
        <v>3231</v>
      </c>
      <c r="X81" s="176">
        <f t="shared" si="33"/>
        <v>44526.345999999998</v>
      </c>
      <c r="Y81" s="176">
        <f t="shared" si="33"/>
        <v>112244.122</v>
      </c>
      <c r="Z81" s="176">
        <f t="shared" si="33"/>
        <v>31698.111000000001</v>
      </c>
      <c r="AA81" s="176">
        <f t="shared" si="33"/>
        <v>73802.497999999992</v>
      </c>
      <c r="AB81" s="176">
        <f t="shared" si="33"/>
        <v>16</v>
      </c>
      <c r="AC81" s="176">
        <f t="shared" si="33"/>
        <v>6727.5129999999999</v>
      </c>
      <c r="AD81" s="232">
        <f t="shared" si="33"/>
        <v>776.57350301920303</v>
      </c>
      <c r="AE81" s="176">
        <f t="shared" si="33"/>
        <v>97136.418999999994</v>
      </c>
      <c r="AF81" s="176">
        <f t="shared" si="33"/>
        <v>21064.262000000002</v>
      </c>
      <c r="AG81" s="176">
        <f t="shared" si="33"/>
        <v>12806.248</v>
      </c>
      <c r="AH81" s="176">
        <f t="shared" si="33"/>
        <v>2390</v>
      </c>
      <c r="AI81" s="176">
        <f t="shared" si="33"/>
        <v>60875.909</v>
      </c>
      <c r="AJ81" s="138">
        <f t="shared" si="33"/>
        <v>0</v>
      </c>
      <c r="AK81" s="26"/>
    </row>
    <row r="82" spans="1:40" ht="36" customHeight="1" x14ac:dyDescent="0.25">
      <c r="A82" s="129" t="s">
        <v>46</v>
      </c>
      <c r="B82" s="130" t="s">
        <v>110</v>
      </c>
      <c r="C82" s="165">
        <f t="shared" si="29"/>
        <v>0</v>
      </c>
      <c r="D82" s="173"/>
      <c r="E82" s="173"/>
      <c r="F82" s="173"/>
      <c r="G82" s="173"/>
      <c r="H82" s="173"/>
      <c r="I82" s="163">
        <f t="shared" si="27"/>
        <v>0</v>
      </c>
      <c r="J82" s="164"/>
      <c r="K82" s="164"/>
      <c r="L82" s="164"/>
      <c r="M82" s="164"/>
      <c r="N82" s="163">
        <f t="shared" ref="N82:N143" si="34">SUM(O82:R82)</f>
        <v>0</v>
      </c>
      <c r="O82" s="164"/>
      <c r="P82" s="164"/>
      <c r="Q82" s="164"/>
      <c r="R82" s="164"/>
      <c r="S82" s="164"/>
      <c r="T82" s="163">
        <f t="shared" si="28"/>
        <v>1077</v>
      </c>
      <c r="U82" s="164">
        <v>770</v>
      </c>
      <c r="V82" s="164">
        <v>307</v>
      </c>
      <c r="W82" s="164"/>
      <c r="X82" s="164"/>
      <c r="Y82" s="163">
        <f t="shared" ref="Y82:Y143" si="35">SUM(Z82:AC82)</f>
        <v>0</v>
      </c>
      <c r="Z82" s="164"/>
      <c r="AA82" s="164"/>
      <c r="AB82" s="164"/>
      <c r="AC82" s="164"/>
      <c r="AD82" s="226"/>
      <c r="AE82" s="163">
        <f t="shared" ref="AE82:AE143" si="36">SUM(AF82:AI82)</f>
        <v>2901</v>
      </c>
      <c r="AF82" s="164">
        <v>1059</v>
      </c>
      <c r="AG82" s="164">
        <v>342</v>
      </c>
      <c r="AH82" s="164"/>
      <c r="AI82" s="164">
        <v>1500</v>
      </c>
      <c r="AJ82" s="45"/>
      <c r="AK82" s="26"/>
    </row>
    <row r="83" spans="1:40" ht="36" customHeight="1" x14ac:dyDescent="0.25">
      <c r="A83" s="129" t="s">
        <v>48</v>
      </c>
      <c r="B83" s="130" t="s">
        <v>111</v>
      </c>
      <c r="C83" s="165">
        <f t="shared" si="29"/>
        <v>0</v>
      </c>
      <c r="D83" s="173"/>
      <c r="E83" s="173"/>
      <c r="F83" s="173"/>
      <c r="G83" s="173"/>
      <c r="H83" s="173"/>
      <c r="I83" s="163">
        <f t="shared" si="27"/>
        <v>0</v>
      </c>
      <c r="J83" s="164"/>
      <c r="K83" s="164"/>
      <c r="L83" s="164"/>
      <c r="M83" s="164"/>
      <c r="N83" s="163">
        <f t="shared" si="34"/>
        <v>0</v>
      </c>
      <c r="O83" s="164"/>
      <c r="P83" s="164"/>
      <c r="Q83" s="164"/>
      <c r="R83" s="164"/>
      <c r="S83" s="164"/>
      <c r="T83" s="163">
        <f t="shared" si="28"/>
        <v>1728</v>
      </c>
      <c r="U83" s="164">
        <v>1274</v>
      </c>
      <c r="V83" s="164">
        <v>454</v>
      </c>
      <c r="W83" s="164"/>
      <c r="X83" s="164"/>
      <c r="Y83" s="163">
        <f t="shared" si="35"/>
        <v>0</v>
      </c>
      <c r="Z83" s="164"/>
      <c r="AA83" s="164"/>
      <c r="AB83" s="164"/>
      <c r="AC83" s="164"/>
      <c r="AD83" s="226"/>
      <c r="AE83" s="163">
        <f t="shared" si="36"/>
        <v>16266</v>
      </c>
      <c r="AF83" s="164">
        <v>1611</v>
      </c>
      <c r="AG83" s="164">
        <v>481</v>
      </c>
      <c r="AH83" s="164"/>
      <c r="AI83" s="164">
        <v>14174</v>
      </c>
      <c r="AJ83" s="45"/>
      <c r="AK83" s="26"/>
    </row>
    <row r="84" spans="1:40" ht="36" customHeight="1" x14ac:dyDescent="0.25">
      <c r="A84" s="132" t="s">
        <v>64</v>
      </c>
      <c r="B84" s="130" t="s">
        <v>112</v>
      </c>
      <c r="C84" s="165">
        <f t="shared" si="29"/>
        <v>0</v>
      </c>
      <c r="D84" s="173"/>
      <c r="E84" s="173"/>
      <c r="F84" s="173"/>
      <c r="G84" s="173"/>
      <c r="H84" s="173"/>
      <c r="I84" s="163">
        <f t="shared" si="27"/>
        <v>0</v>
      </c>
      <c r="J84" s="164"/>
      <c r="K84" s="164"/>
      <c r="L84" s="164"/>
      <c r="M84" s="164"/>
      <c r="N84" s="163">
        <f t="shared" si="34"/>
        <v>0</v>
      </c>
      <c r="O84" s="164"/>
      <c r="P84" s="164"/>
      <c r="Q84" s="164"/>
      <c r="R84" s="164"/>
      <c r="S84" s="164"/>
      <c r="T84" s="163">
        <f t="shared" si="28"/>
        <v>719</v>
      </c>
      <c r="U84" s="164">
        <v>474</v>
      </c>
      <c r="V84" s="164">
        <v>245</v>
      </c>
      <c r="W84" s="164"/>
      <c r="X84" s="164"/>
      <c r="Y84" s="163">
        <f t="shared" si="35"/>
        <v>0</v>
      </c>
      <c r="Z84" s="164"/>
      <c r="AA84" s="164"/>
      <c r="AB84" s="164"/>
      <c r="AC84" s="164"/>
      <c r="AD84" s="226"/>
      <c r="AE84" s="163">
        <f t="shared" si="36"/>
        <v>2365</v>
      </c>
      <c r="AF84" s="164">
        <v>402</v>
      </c>
      <c r="AG84" s="164">
        <v>163</v>
      </c>
      <c r="AH84" s="164"/>
      <c r="AI84" s="164">
        <v>1800</v>
      </c>
      <c r="AJ84" s="45"/>
      <c r="AK84" s="26"/>
    </row>
    <row r="85" spans="1:40" ht="36" customHeight="1" x14ac:dyDescent="0.25">
      <c r="A85" s="132" t="s">
        <v>202</v>
      </c>
      <c r="B85" s="130" t="s">
        <v>171</v>
      </c>
      <c r="C85" s="165">
        <f t="shared" si="29"/>
        <v>15700</v>
      </c>
      <c r="D85" s="165">
        <v>13138</v>
      </c>
      <c r="E85" s="166"/>
      <c r="F85" s="166"/>
      <c r="G85" s="165">
        <v>2562</v>
      </c>
      <c r="H85" s="166">
        <v>4.3</v>
      </c>
      <c r="I85" s="163">
        <f t="shared" si="27"/>
        <v>1557</v>
      </c>
      <c r="J85" s="163">
        <v>1311</v>
      </c>
      <c r="K85" s="163">
        <v>161</v>
      </c>
      <c r="L85" s="163"/>
      <c r="M85" s="163">
        <v>85</v>
      </c>
      <c r="N85" s="163">
        <f t="shared" si="34"/>
        <v>15809</v>
      </c>
      <c r="O85" s="163">
        <v>13138</v>
      </c>
      <c r="P85" s="163"/>
      <c r="Q85" s="163"/>
      <c r="R85" s="163">
        <v>2671</v>
      </c>
      <c r="S85" s="177">
        <v>4.5</v>
      </c>
      <c r="T85" s="163">
        <f t="shared" si="28"/>
        <v>1304</v>
      </c>
      <c r="U85" s="163">
        <v>955</v>
      </c>
      <c r="V85" s="163">
        <v>349</v>
      </c>
      <c r="W85" s="163"/>
      <c r="X85" s="163"/>
      <c r="Y85" s="163">
        <f t="shared" si="35"/>
        <v>0</v>
      </c>
      <c r="Z85" s="163"/>
      <c r="AA85" s="163"/>
      <c r="AB85" s="163"/>
      <c r="AC85" s="163"/>
      <c r="AD85" s="225"/>
      <c r="AE85" s="163">
        <f t="shared" si="36"/>
        <v>0</v>
      </c>
      <c r="AF85" s="163"/>
      <c r="AG85" s="163"/>
      <c r="AH85" s="163"/>
      <c r="AI85" s="163"/>
      <c r="AJ85" s="48"/>
      <c r="AK85" s="79"/>
      <c r="AL85" s="80"/>
      <c r="AM85" s="80"/>
      <c r="AN85" s="80"/>
    </row>
    <row r="86" spans="1:40" ht="36" customHeight="1" x14ac:dyDescent="0.25">
      <c r="A86" s="132" t="s">
        <v>66</v>
      </c>
      <c r="B86" s="130" t="s">
        <v>172</v>
      </c>
      <c r="C86" s="165">
        <f t="shared" si="29"/>
        <v>0</v>
      </c>
      <c r="D86" s="173"/>
      <c r="E86" s="173"/>
      <c r="F86" s="173"/>
      <c r="G86" s="173"/>
      <c r="H86" s="173"/>
      <c r="I86" s="163">
        <f t="shared" si="27"/>
        <v>0</v>
      </c>
      <c r="J86" s="164"/>
      <c r="K86" s="164"/>
      <c r="L86" s="164"/>
      <c r="M86" s="164"/>
      <c r="N86" s="163">
        <f t="shared" si="34"/>
        <v>0</v>
      </c>
      <c r="O86" s="164"/>
      <c r="P86" s="164"/>
      <c r="Q86" s="164"/>
      <c r="R86" s="164"/>
      <c r="S86" s="164"/>
      <c r="T86" s="163">
        <f t="shared" si="28"/>
        <v>1965</v>
      </c>
      <c r="U86" s="164">
        <v>1511</v>
      </c>
      <c r="V86" s="164">
        <v>454</v>
      </c>
      <c r="W86" s="164"/>
      <c r="X86" s="164"/>
      <c r="Y86" s="163">
        <f t="shared" si="35"/>
        <v>0</v>
      </c>
      <c r="Z86" s="164"/>
      <c r="AA86" s="164"/>
      <c r="AB86" s="164"/>
      <c r="AC86" s="164"/>
      <c r="AD86" s="226"/>
      <c r="AE86" s="163">
        <f t="shared" si="36"/>
        <v>0</v>
      </c>
      <c r="AF86" s="164"/>
      <c r="AG86" s="164"/>
      <c r="AH86" s="164"/>
      <c r="AI86" s="164"/>
      <c r="AJ86" s="45"/>
      <c r="AK86" s="26"/>
    </row>
    <row r="87" spans="1:40" ht="36" customHeight="1" x14ac:dyDescent="0.25">
      <c r="A87" s="132" t="s">
        <v>67</v>
      </c>
      <c r="B87" s="130" t="s">
        <v>121</v>
      </c>
      <c r="C87" s="165">
        <f t="shared" si="29"/>
        <v>726.3</v>
      </c>
      <c r="D87" s="173">
        <v>332.1</v>
      </c>
      <c r="E87" s="173"/>
      <c r="F87" s="173">
        <v>141.9</v>
      </c>
      <c r="G87" s="178">
        <v>252.3</v>
      </c>
      <c r="H87" s="173"/>
      <c r="I87" s="163">
        <f t="shared" si="27"/>
        <v>2247.1</v>
      </c>
      <c r="J87" s="164">
        <v>470</v>
      </c>
      <c r="K87" s="178">
        <v>159.80000000000001</v>
      </c>
      <c r="L87" s="164"/>
      <c r="M87" s="178">
        <v>1617.3</v>
      </c>
      <c r="N87" s="163">
        <f t="shared" si="34"/>
        <v>103.3</v>
      </c>
      <c r="O87" s="164"/>
      <c r="P87" s="164"/>
      <c r="Q87" s="164"/>
      <c r="R87" s="178">
        <v>103.3</v>
      </c>
      <c r="S87" s="164"/>
      <c r="T87" s="163">
        <f t="shared" si="28"/>
        <v>1286.3</v>
      </c>
      <c r="U87" s="178">
        <v>543.9</v>
      </c>
      <c r="V87" s="178">
        <v>139.4</v>
      </c>
      <c r="W87" s="164"/>
      <c r="X87" s="164">
        <v>603</v>
      </c>
      <c r="Y87" s="163">
        <f t="shared" si="35"/>
        <v>0</v>
      </c>
      <c r="Z87" s="164"/>
      <c r="AA87" s="164"/>
      <c r="AB87" s="164"/>
      <c r="AC87" s="164"/>
      <c r="AD87" s="233">
        <v>5.9</v>
      </c>
      <c r="AE87" s="163">
        <f t="shared" si="36"/>
        <v>4930</v>
      </c>
      <c r="AF87" s="164">
        <v>2088</v>
      </c>
      <c r="AG87" s="164">
        <v>525</v>
      </c>
      <c r="AH87" s="164"/>
      <c r="AI87" s="164">
        <v>2317</v>
      </c>
      <c r="AJ87" s="45"/>
      <c r="AK87" s="82"/>
    </row>
    <row r="88" spans="1:40" ht="45" customHeight="1" x14ac:dyDescent="0.25">
      <c r="A88" s="132" t="s">
        <v>69</v>
      </c>
      <c r="B88" s="130" t="s">
        <v>113</v>
      </c>
      <c r="C88" s="165">
        <f t="shared" si="29"/>
        <v>0</v>
      </c>
      <c r="D88" s="179"/>
      <c r="E88" s="179"/>
      <c r="F88" s="179"/>
      <c r="G88" s="179"/>
      <c r="H88" s="179"/>
      <c r="I88" s="163">
        <f t="shared" si="27"/>
        <v>0</v>
      </c>
      <c r="J88" s="180"/>
      <c r="K88" s="180"/>
      <c r="L88" s="180"/>
      <c r="M88" s="180"/>
      <c r="N88" s="163">
        <f t="shared" si="34"/>
        <v>0</v>
      </c>
      <c r="O88" s="180"/>
      <c r="P88" s="180"/>
      <c r="Q88" s="180"/>
      <c r="R88" s="180"/>
      <c r="S88" s="180"/>
      <c r="T88" s="163">
        <f t="shared" si="28"/>
        <v>0</v>
      </c>
      <c r="U88" s="180"/>
      <c r="V88" s="180"/>
      <c r="W88" s="180"/>
      <c r="X88" s="180"/>
      <c r="Y88" s="163">
        <f t="shared" si="35"/>
        <v>83006</v>
      </c>
      <c r="Z88" s="180">
        <v>19947</v>
      </c>
      <c r="AA88" s="180">
        <v>62261</v>
      </c>
      <c r="AB88" s="180">
        <v>16</v>
      </c>
      <c r="AC88" s="180">
        <v>782</v>
      </c>
      <c r="AD88" s="234">
        <v>5</v>
      </c>
      <c r="AE88" s="163">
        <f t="shared" si="36"/>
        <v>2870</v>
      </c>
      <c r="AF88" s="180">
        <v>2543</v>
      </c>
      <c r="AG88" s="180">
        <v>327</v>
      </c>
      <c r="AH88" s="180"/>
      <c r="AI88" s="180"/>
      <c r="AJ88" s="84"/>
      <c r="AK88" s="81"/>
    </row>
    <row r="89" spans="1:40" ht="36" customHeight="1" x14ac:dyDescent="0.25">
      <c r="A89" s="132" t="s">
        <v>70</v>
      </c>
      <c r="B89" s="130" t="s">
        <v>121</v>
      </c>
      <c r="C89" s="165">
        <f t="shared" si="29"/>
        <v>0</v>
      </c>
      <c r="D89" s="173"/>
      <c r="E89" s="173"/>
      <c r="F89" s="173"/>
      <c r="G89" s="173"/>
      <c r="H89" s="173"/>
      <c r="I89" s="163">
        <f t="shared" si="27"/>
        <v>0</v>
      </c>
      <c r="J89" s="164"/>
      <c r="K89" s="164"/>
      <c r="L89" s="164"/>
      <c r="M89" s="164"/>
      <c r="N89" s="163">
        <f t="shared" si="34"/>
        <v>0</v>
      </c>
      <c r="O89" s="164"/>
      <c r="P89" s="164"/>
      <c r="Q89" s="164"/>
      <c r="R89" s="164"/>
      <c r="S89" s="164"/>
      <c r="T89" s="163">
        <f t="shared" si="28"/>
        <v>0</v>
      </c>
      <c r="U89" s="164"/>
      <c r="V89" s="164"/>
      <c r="W89" s="164"/>
      <c r="X89" s="164"/>
      <c r="Y89" s="163">
        <f t="shared" si="35"/>
        <v>0</v>
      </c>
      <c r="Z89" s="164"/>
      <c r="AA89" s="164"/>
      <c r="AB89" s="164"/>
      <c r="AC89" s="164"/>
      <c r="AD89" s="226"/>
      <c r="AE89" s="163">
        <f t="shared" si="36"/>
        <v>4796</v>
      </c>
      <c r="AF89" s="164">
        <v>2088</v>
      </c>
      <c r="AG89" s="164">
        <v>584</v>
      </c>
      <c r="AH89" s="164"/>
      <c r="AI89" s="164">
        <v>2124</v>
      </c>
      <c r="AJ89" s="45"/>
      <c r="AK89" s="26"/>
    </row>
    <row r="90" spans="1:40" ht="36" customHeight="1" x14ac:dyDescent="0.25">
      <c r="A90" s="123" t="s">
        <v>71</v>
      </c>
      <c r="B90" s="130" t="s">
        <v>224</v>
      </c>
      <c r="C90" s="165">
        <f t="shared" si="29"/>
        <v>14597.034</v>
      </c>
      <c r="D90" s="166">
        <v>8646.0859999999993</v>
      </c>
      <c r="E90" s="166">
        <v>2171.3999999999996</v>
      </c>
      <c r="F90" s="166">
        <v>0</v>
      </c>
      <c r="G90" s="166">
        <v>3779.5479999999998</v>
      </c>
      <c r="H90" s="166">
        <v>695.45079333333331</v>
      </c>
      <c r="I90" s="163">
        <f t="shared" si="27"/>
        <v>34341.090062000003</v>
      </c>
      <c r="J90" s="163">
        <v>10744.535899999999</v>
      </c>
      <c r="K90" s="163">
        <v>11236.218161999999</v>
      </c>
      <c r="L90" s="163">
        <v>5994</v>
      </c>
      <c r="M90" s="163">
        <v>6366.3360000000002</v>
      </c>
      <c r="N90" s="163">
        <f t="shared" si="34"/>
        <v>24347.388724</v>
      </c>
      <c r="O90" s="163">
        <v>11970.848180999999</v>
      </c>
      <c r="P90" s="163">
        <v>2818.1025</v>
      </c>
      <c r="Q90" s="163">
        <v>96</v>
      </c>
      <c r="R90" s="163">
        <v>9462.4380430000019</v>
      </c>
      <c r="S90" s="163">
        <v>753.03142213799549</v>
      </c>
      <c r="T90" s="163">
        <f t="shared" si="28"/>
        <v>35093.674647</v>
      </c>
      <c r="U90" s="163">
        <v>11742.173402</v>
      </c>
      <c r="V90" s="163">
        <v>13653.155244999998</v>
      </c>
      <c r="W90" s="163">
        <v>3231</v>
      </c>
      <c r="X90" s="163">
        <v>6467.3459999999995</v>
      </c>
      <c r="Y90" s="163">
        <f t="shared" si="35"/>
        <v>29238.121999999999</v>
      </c>
      <c r="Z90" s="163">
        <v>11751.111000000001</v>
      </c>
      <c r="AA90" s="163">
        <v>11541.498</v>
      </c>
      <c r="AB90" s="163">
        <v>0</v>
      </c>
      <c r="AC90" s="163">
        <v>5945.5129999999999</v>
      </c>
      <c r="AD90" s="225">
        <v>765.67350301920305</v>
      </c>
      <c r="AE90" s="163">
        <f t="shared" si="36"/>
        <v>32951.419000000002</v>
      </c>
      <c r="AF90" s="163">
        <v>11273.262000000001</v>
      </c>
      <c r="AG90" s="163">
        <v>10384.248</v>
      </c>
      <c r="AH90" s="163">
        <v>2390</v>
      </c>
      <c r="AI90" s="163">
        <v>8903.9089999999997</v>
      </c>
      <c r="AJ90" s="48"/>
      <c r="AK90" s="82"/>
    </row>
    <row r="91" spans="1:40" ht="36" customHeight="1" x14ac:dyDescent="0.25">
      <c r="A91" s="123">
        <v>1.1000000000000001</v>
      </c>
      <c r="B91" s="130" t="s">
        <v>114</v>
      </c>
      <c r="C91" s="165">
        <f t="shared" si="29"/>
        <v>0</v>
      </c>
      <c r="D91" s="173"/>
      <c r="E91" s="173"/>
      <c r="F91" s="173"/>
      <c r="G91" s="173"/>
      <c r="H91" s="173"/>
      <c r="I91" s="163">
        <f t="shared" si="27"/>
        <v>22000</v>
      </c>
      <c r="J91" s="164"/>
      <c r="K91" s="164"/>
      <c r="L91" s="164"/>
      <c r="M91" s="164">
        <f>12000+10000</f>
        <v>22000</v>
      </c>
      <c r="N91" s="163">
        <f t="shared" si="34"/>
        <v>0</v>
      </c>
      <c r="O91" s="164"/>
      <c r="P91" s="164"/>
      <c r="Q91" s="164"/>
      <c r="R91" s="164"/>
      <c r="S91" s="164"/>
      <c r="T91" s="163">
        <f t="shared" si="28"/>
        <v>37456</v>
      </c>
      <c r="U91" s="164"/>
      <c r="V91" s="164"/>
      <c r="W91" s="164"/>
      <c r="X91" s="164">
        <v>37456</v>
      </c>
      <c r="Y91" s="163">
        <f t="shared" si="35"/>
        <v>0</v>
      </c>
      <c r="Z91" s="164"/>
      <c r="AA91" s="164"/>
      <c r="AB91" s="164"/>
      <c r="AC91" s="164"/>
      <c r="AD91" s="226"/>
      <c r="AE91" s="163">
        <f t="shared" si="36"/>
        <v>30057</v>
      </c>
      <c r="AF91" s="164"/>
      <c r="AG91" s="164"/>
      <c r="AH91" s="164"/>
      <c r="AI91" s="164">
        <v>30057</v>
      </c>
      <c r="AJ91" s="45"/>
      <c r="AK91" s="26"/>
    </row>
    <row r="92" spans="1:40" s="22" customFormat="1" ht="36.6" customHeight="1" x14ac:dyDescent="0.2">
      <c r="A92" s="46" t="s">
        <v>142</v>
      </c>
      <c r="B92" s="47" t="s">
        <v>84</v>
      </c>
      <c r="C92" s="165">
        <f t="shared" si="29"/>
        <v>15309</v>
      </c>
      <c r="D92" s="162">
        <f>SUM(D93:D100)</f>
        <v>420</v>
      </c>
      <c r="E92" s="162">
        <f>SUM(E93:E100)</f>
        <v>0</v>
      </c>
      <c r="F92" s="162">
        <f>SUM(F93:F100)</f>
        <v>0</v>
      </c>
      <c r="G92" s="162">
        <f>SUM(G93:G100)</f>
        <v>14889</v>
      </c>
      <c r="H92" s="162">
        <f>SUM(H93:H100)</f>
        <v>13.7</v>
      </c>
      <c r="I92" s="163">
        <f t="shared" si="27"/>
        <v>15987</v>
      </c>
      <c r="J92" s="164">
        <f t="shared" ref="J92:S92" si="37">SUM(J93:J100)</f>
        <v>890</v>
      </c>
      <c r="K92" s="164">
        <f t="shared" si="37"/>
        <v>301</v>
      </c>
      <c r="L92" s="164">
        <f t="shared" si="37"/>
        <v>0</v>
      </c>
      <c r="M92" s="164">
        <f t="shared" si="37"/>
        <v>14796</v>
      </c>
      <c r="N92" s="163">
        <f t="shared" si="34"/>
        <v>15468</v>
      </c>
      <c r="O92" s="164">
        <f t="shared" si="37"/>
        <v>420</v>
      </c>
      <c r="P92" s="164">
        <f t="shared" si="37"/>
        <v>11884</v>
      </c>
      <c r="Q92" s="164">
        <f t="shared" si="37"/>
        <v>0</v>
      </c>
      <c r="R92" s="164">
        <f t="shared" si="37"/>
        <v>3164</v>
      </c>
      <c r="S92" s="164">
        <f t="shared" si="37"/>
        <v>82</v>
      </c>
      <c r="T92" s="163">
        <f t="shared" si="28"/>
        <v>17979</v>
      </c>
      <c r="U92" s="164">
        <f t="shared" ref="U92:AD92" si="38">SUM(U93:U100)</f>
        <v>1220</v>
      </c>
      <c r="V92" s="164">
        <f t="shared" si="38"/>
        <v>458</v>
      </c>
      <c r="W92" s="164">
        <f t="shared" si="38"/>
        <v>0</v>
      </c>
      <c r="X92" s="164">
        <f t="shared" si="38"/>
        <v>16301</v>
      </c>
      <c r="Y92" s="163">
        <f t="shared" si="35"/>
        <v>30366</v>
      </c>
      <c r="Z92" s="164">
        <f t="shared" si="38"/>
        <v>3124</v>
      </c>
      <c r="AA92" s="164">
        <f t="shared" si="38"/>
        <v>11884</v>
      </c>
      <c r="AB92" s="164">
        <f t="shared" si="38"/>
        <v>662</v>
      </c>
      <c r="AC92" s="164">
        <f t="shared" si="38"/>
        <v>14696</v>
      </c>
      <c r="AD92" s="226">
        <f t="shared" si="38"/>
        <v>89.8</v>
      </c>
      <c r="AE92" s="163">
        <f t="shared" si="36"/>
        <v>27573</v>
      </c>
      <c r="AF92" s="164">
        <f>SUM(AF93:AF100)</f>
        <v>833</v>
      </c>
      <c r="AG92" s="164">
        <f>SUM(AG93:AG100)</f>
        <v>140</v>
      </c>
      <c r="AH92" s="164">
        <f>SUM(AH93:AH100)</f>
        <v>0</v>
      </c>
      <c r="AI92" s="164">
        <f>SUM(AI93:AI100)</f>
        <v>26600</v>
      </c>
      <c r="AJ92" s="45"/>
      <c r="AK92" s="21"/>
    </row>
    <row r="93" spans="1:40" s="28" customFormat="1" ht="30" customHeight="1" x14ac:dyDescent="0.25">
      <c r="A93" s="129">
        <v>1</v>
      </c>
      <c r="B93" s="130" t="s">
        <v>109</v>
      </c>
      <c r="C93" s="165">
        <f t="shared" si="29"/>
        <v>0</v>
      </c>
      <c r="D93" s="181"/>
      <c r="E93" s="181"/>
      <c r="F93" s="181"/>
      <c r="G93" s="181"/>
      <c r="H93" s="181"/>
      <c r="I93" s="163">
        <f t="shared" si="27"/>
        <v>1781</v>
      </c>
      <c r="J93" s="182">
        <v>443</v>
      </c>
      <c r="K93" s="182">
        <v>188</v>
      </c>
      <c r="L93" s="182"/>
      <c r="M93" s="182">
        <v>1150</v>
      </c>
      <c r="N93" s="163">
        <f t="shared" si="34"/>
        <v>0</v>
      </c>
      <c r="O93" s="182"/>
      <c r="P93" s="182"/>
      <c r="Q93" s="182"/>
      <c r="R93" s="182"/>
      <c r="S93" s="182"/>
      <c r="T93" s="163">
        <f t="shared" si="28"/>
        <v>1557</v>
      </c>
      <c r="U93" s="182">
        <v>533</v>
      </c>
      <c r="V93" s="182">
        <v>196</v>
      </c>
      <c r="W93" s="182"/>
      <c r="X93" s="182">
        <v>828</v>
      </c>
      <c r="Y93" s="163">
        <f t="shared" si="35"/>
        <v>0</v>
      </c>
      <c r="Z93" s="182"/>
      <c r="AA93" s="182"/>
      <c r="AB93" s="182"/>
      <c r="AC93" s="182"/>
      <c r="AD93" s="235"/>
      <c r="AE93" s="163">
        <f t="shared" si="36"/>
        <v>450</v>
      </c>
      <c r="AF93" s="182"/>
      <c r="AG93" s="182"/>
      <c r="AH93" s="182"/>
      <c r="AI93" s="182">
        <v>450</v>
      </c>
      <c r="AJ93" s="134"/>
      <c r="AK93" s="32"/>
    </row>
    <row r="94" spans="1:40" s="28" customFormat="1" ht="30" customHeight="1" x14ac:dyDescent="0.25">
      <c r="A94" s="129">
        <v>2</v>
      </c>
      <c r="B94" s="130" t="s">
        <v>115</v>
      </c>
      <c r="C94" s="165">
        <f t="shared" si="29"/>
        <v>0</v>
      </c>
      <c r="D94" s="181"/>
      <c r="E94" s="181"/>
      <c r="F94" s="181"/>
      <c r="G94" s="181"/>
      <c r="H94" s="181"/>
      <c r="I94" s="163">
        <f t="shared" si="27"/>
        <v>290</v>
      </c>
      <c r="J94" s="182"/>
      <c r="K94" s="182"/>
      <c r="L94" s="182"/>
      <c r="M94" s="182">
        <v>290</v>
      </c>
      <c r="N94" s="163">
        <f t="shared" si="34"/>
        <v>0</v>
      </c>
      <c r="O94" s="182"/>
      <c r="P94" s="182"/>
      <c r="Q94" s="182"/>
      <c r="R94" s="182"/>
      <c r="S94" s="182"/>
      <c r="T94" s="163">
        <f t="shared" si="28"/>
        <v>270</v>
      </c>
      <c r="U94" s="182"/>
      <c r="V94" s="182"/>
      <c r="W94" s="182"/>
      <c r="X94" s="182">
        <v>270</v>
      </c>
      <c r="Y94" s="163">
        <f t="shared" si="35"/>
        <v>0</v>
      </c>
      <c r="Z94" s="182"/>
      <c r="AA94" s="182"/>
      <c r="AB94" s="182"/>
      <c r="AC94" s="182"/>
      <c r="AD94" s="235"/>
      <c r="AE94" s="163">
        <f t="shared" si="36"/>
        <v>150</v>
      </c>
      <c r="AF94" s="182"/>
      <c r="AG94" s="182"/>
      <c r="AH94" s="182"/>
      <c r="AI94" s="182">
        <v>150</v>
      </c>
      <c r="AJ94" s="134"/>
      <c r="AK94" s="32"/>
    </row>
    <row r="95" spans="1:40" s="28" customFormat="1" ht="30" customHeight="1" x14ac:dyDescent="0.25">
      <c r="A95" s="129">
        <v>3</v>
      </c>
      <c r="B95" s="130" t="s">
        <v>116</v>
      </c>
      <c r="C95" s="165">
        <f t="shared" si="29"/>
        <v>312</v>
      </c>
      <c r="D95" s="181"/>
      <c r="E95" s="181"/>
      <c r="F95" s="181"/>
      <c r="G95" s="181">
        <v>312</v>
      </c>
      <c r="H95" s="181"/>
      <c r="I95" s="163">
        <f t="shared" si="27"/>
        <v>230</v>
      </c>
      <c r="J95" s="182"/>
      <c r="K95" s="182"/>
      <c r="L95" s="182"/>
      <c r="M95" s="182">
        <v>230</v>
      </c>
      <c r="N95" s="163">
        <f t="shared" si="34"/>
        <v>305</v>
      </c>
      <c r="O95" s="182"/>
      <c r="P95" s="182"/>
      <c r="Q95" s="182"/>
      <c r="R95" s="182">
        <v>305</v>
      </c>
      <c r="S95" s="182">
        <v>75</v>
      </c>
      <c r="T95" s="163">
        <f t="shared" si="28"/>
        <v>360</v>
      </c>
      <c r="U95" s="182"/>
      <c r="V95" s="182"/>
      <c r="W95" s="182"/>
      <c r="X95" s="182">
        <v>360</v>
      </c>
      <c r="Y95" s="163">
        <f t="shared" si="35"/>
        <v>588</v>
      </c>
      <c r="Z95" s="182"/>
      <c r="AA95" s="182"/>
      <c r="AB95" s="182"/>
      <c r="AC95" s="182">
        <v>588</v>
      </c>
      <c r="AD95" s="235">
        <v>75</v>
      </c>
      <c r="AE95" s="163">
        <f t="shared" si="36"/>
        <v>300</v>
      </c>
      <c r="AF95" s="182"/>
      <c r="AG95" s="182"/>
      <c r="AH95" s="182"/>
      <c r="AI95" s="182">
        <v>300</v>
      </c>
      <c r="AJ95" s="134"/>
      <c r="AK95" s="32"/>
    </row>
    <row r="96" spans="1:40" s="28" customFormat="1" ht="30" customHeight="1" x14ac:dyDescent="0.25">
      <c r="A96" s="129">
        <v>4</v>
      </c>
      <c r="B96" s="130" t="s">
        <v>117</v>
      </c>
      <c r="C96" s="165">
        <f t="shared" si="29"/>
        <v>0</v>
      </c>
      <c r="D96" s="181"/>
      <c r="E96" s="181"/>
      <c r="F96" s="181"/>
      <c r="G96" s="181"/>
      <c r="H96" s="181"/>
      <c r="I96" s="163">
        <f t="shared" si="27"/>
        <v>6876</v>
      </c>
      <c r="J96" s="182"/>
      <c r="K96" s="182"/>
      <c r="L96" s="182"/>
      <c r="M96" s="182">
        <v>6876</v>
      </c>
      <c r="N96" s="163">
        <f t="shared" si="34"/>
        <v>0</v>
      </c>
      <c r="O96" s="182"/>
      <c r="P96" s="182"/>
      <c r="Q96" s="182"/>
      <c r="R96" s="182"/>
      <c r="S96" s="182"/>
      <c r="T96" s="163">
        <f t="shared" si="28"/>
        <v>3484</v>
      </c>
      <c r="U96" s="182"/>
      <c r="V96" s="182"/>
      <c r="W96" s="182"/>
      <c r="X96" s="182">
        <v>3484</v>
      </c>
      <c r="Y96" s="163">
        <f t="shared" si="35"/>
        <v>0</v>
      </c>
      <c r="Z96" s="182"/>
      <c r="AA96" s="182"/>
      <c r="AB96" s="182"/>
      <c r="AC96" s="182"/>
      <c r="AD96" s="235"/>
      <c r="AE96" s="163">
        <f t="shared" si="36"/>
        <v>1400</v>
      </c>
      <c r="AF96" s="182"/>
      <c r="AG96" s="182"/>
      <c r="AH96" s="182"/>
      <c r="AI96" s="182">
        <v>1400</v>
      </c>
      <c r="AJ96" s="134"/>
      <c r="AK96" s="32"/>
    </row>
    <row r="97" spans="1:38" s="28" customFormat="1" ht="30" customHeight="1" x14ac:dyDescent="0.25">
      <c r="A97" s="129">
        <v>5</v>
      </c>
      <c r="B97" s="130" t="s">
        <v>118</v>
      </c>
      <c r="C97" s="165">
        <f t="shared" si="29"/>
        <v>0</v>
      </c>
      <c r="D97" s="181"/>
      <c r="E97" s="181"/>
      <c r="F97" s="181"/>
      <c r="G97" s="181"/>
      <c r="H97" s="181"/>
      <c r="I97" s="163">
        <f t="shared" si="27"/>
        <v>750</v>
      </c>
      <c r="J97" s="182"/>
      <c r="K97" s="182"/>
      <c r="L97" s="182"/>
      <c r="M97" s="182">
        <v>750</v>
      </c>
      <c r="N97" s="163">
        <f t="shared" si="34"/>
        <v>0</v>
      </c>
      <c r="O97" s="182"/>
      <c r="P97" s="182"/>
      <c r="Q97" s="182"/>
      <c r="R97" s="182"/>
      <c r="S97" s="182"/>
      <c r="T97" s="163">
        <f t="shared" si="28"/>
        <v>360</v>
      </c>
      <c r="U97" s="182"/>
      <c r="V97" s="182"/>
      <c r="W97" s="182"/>
      <c r="X97" s="182">
        <v>360</v>
      </c>
      <c r="Y97" s="163">
        <f t="shared" si="35"/>
        <v>0</v>
      </c>
      <c r="Z97" s="182"/>
      <c r="AA97" s="182"/>
      <c r="AB97" s="182"/>
      <c r="AC97" s="182"/>
      <c r="AD97" s="235"/>
      <c r="AE97" s="163">
        <f t="shared" si="36"/>
        <v>1100</v>
      </c>
      <c r="AF97" s="182"/>
      <c r="AG97" s="182"/>
      <c r="AH97" s="182"/>
      <c r="AI97" s="182">
        <v>1100</v>
      </c>
      <c r="AJ97" s="134"/>
      <c r="AK97" s="32"/>
    </row>
    <row r="98" spans="1:38" s="28" customFormat="1" ht="30" customHeight="1" x14ac:dyDescent="0.25">
      <c r="A98" s="129">
        <v>6</v>
      </c>
      <c r="B98" s="130" t="s">
        <v>119</v>
      </c>
      <c r="C98" s="165">
        <f t="shared" si="29"/>
        <v>14997</v>
      </c>
      <c r="D98" s="181">
        <v>420</v>
      </c>
      <c r="E98" s="181"/>
      <c r="F98" s="181"/>
      <c r="G98" s="181">
        <f>14997-(F98+E98+D98)</f>
        <v>14577</v>
      </c>
      <c r="H98" s="183">
        <v>13.7</v>
      </c>
      <c r="I98" s="163">
        <f t="shared" si="27"/>
        <v>2560</v>
      </c>
      <c r="J98" s="182">
        <v>447</v>
      </c>
      <c r="K98" s="182">
        <v>113</v>
      </c>
      <c r="L98" s="182"/>
      <c r="M98" s="182">
        <v>2000</v>
      </c>
      <c r="N98" s="163">
        <f t="shared" si="34"/>
        <v>15163</v>
      </c>
      <c r="O98" s="182">
        <v>420</v>
      </c>
      <c r="P98" s="182">
        <v>11884</v>
      </c>
      <c r="Q98" s="182"/>
      <c r="R98" s="182">
        <f>15163-(O98+P98+Q98)</f>
        <v>2859</v>
      </c>
      <c r="S98" s="182">
        <v>7</v>
      </c>
      <c r="T98" s="163">
        <f t="shared" si="28"/>
        <v>1796</v>
      </c>
      <c r="U98" s="182">
        <v>687</v>
      </c>
      <c r="V98" s="182">
        <v>262</v>
      </c>
      <c r="W98" s="182"/>
      <c r="X98" s="182">
        <f>577+90+180</f>
        <v>847</v>
      </c>
      <c r="Y98" s="163">
        <f t="shared" si="35"/>
        <v>29778</v>
      </c>
      <c r="Z98" s="182">
        <v>3124</v>
      </c>
      <c r="AA98" s="182">
        <v>11884</v>
      </c>
      <c r="AB98" s="182">
        <v>662</v>
      </c>
      <c r="AC98" s="182">
        <v>14108</v>
      </c>
      <c r="AD98" s="236">
        <v>14.8</v>
      </c>
      <c r="AE98" s="163">
        <f t="shared" si="36"/>
        <v>3773</v>
      </c>
      <c r="AF98" s="182">
        <v>833</v>
      </c>
      <c r="AG98" s="182">
        <v>140</v>
      </c>
      <c r="AH98" s="182"/>
      <c r="AI98" s="182">
        <v>2800</v>
      </c>
      <c r="AJ98" s="134"/>
      <c r="AK98" s="32"/>
    </row>
    <row r="99" spans="1:38" s="28" customFormat="1" ht="30" customHeight="1" x14ac:dyDescent="0.25">
      <c r="A99" s="129">
        <v>8</v>
      </c>
      <c r="B99" s="130" t="s">
        <v>120</v>
      </c>
      <c r="C99" s="165">
        <f t="shared" si="29"/>
        <v>0</v>
      </c>
      <c r="D99" s="181"/>
      <c r="E99" s="181"/>
      <c r="F99" s="181"/>
      <c r="G99" s="181"/>
      <c r="H99" s="181"/>
      <c r="I99" s="163">
        <f t="shared" si="27"/>
        <v>0</v>
      </c>
      <c r="J99" s="182"/>
      <c r="K99" s="182"/>
      <c r="L99" s="182"/>
      <c r="M99" s="182"/>
      <c r="N99" s="163">
        <f t="shared" si="34"/>
        <v>0</v>
      </c>
      <c r="O99" s="182"/>
      <c r="P99" s="182"/>
      <c r="Q99" s="182"/>
      <c r="R99" s="182"/>
      <c r="S99" s="182"/>
      <c r="T99" s="163">
        <f t="shared" si="28"/>
        <v>0</v>
      </c>
      <c r="U99" s="182"/>
      <c r="V99" s="182"/>
      <c r="W99" s="182"/>
      <c r="X99" s="182"/>
      <c r="Y99" s="163">
        <f t="shared" si="35"/>
        <v>0</v>
      </c>
      <c r="Z99" s="182"/>
      <c r="AA99" s="182"/>
      <c r="AB99" s="182"/>
      <c r="AC99" s="182"/>
      <c r="AD99" s="235"/>
      <c r="AE99" s="163">
        <f t="shared" si="36"/>
        <v>12700</v>
      </c>
      <c r="AF99" s="182"/>
      <c r="AG99" s="182"/>
      <c r="AH99" s="182"/>
      <c r="AI99" s="182">
        <v>12700</v>
      </c>
      <c r="AJ99" s="134"/>
      <c r="AK99" s="32"/>
    </row>
    <row r="100" spans="1:38" s="28" customFormat="1" ht="46.5" customHeight="1" x14ac:dyDescent="0.25">
      <c r="A100" s="129">
        <v>11</v>
      </c>
      <c r="B100" s="130" t="s">
        <v>30</v>
      </c>
      <c r="C100" s="165">
        <f t="shared" si="29"/>
        <v>0</v>
      </c>
      <c r="D100" s="181"/>
      <c r="E100" s="181"/>
      <c r="F100" s="181"/>
      <c r="G100" s="181"/>
      <c r="H100" s="181"/>
      <c r="I100" s="163">
        <f t="shared" si="27"/>
        <v>3500</v>
      </c>
      <c r="J100" s="182"/>
      <c r="K100" s="182"/>
      <c r="L100" s="182"/>
      <c r="M100" s="182">
        <f>3000+500</f>
        <v>3500</v>
      </c>
      <c r="N100" s="163">
        <f t="shared" si="34"/>
        <v>0</v>
      </c>
      <c r="O100" s="182"/>
      <c r="P100" s="182"/>
      <c r="Q100" s="182"/>
      <c r="R100" s="182"/>
      <c r="S100" s="182"/>
      <c r="T100" s="163">
        <f t="shared" si="28"/>
        <v>10152</v>
      </c>
      <c r="U100" s="182"/>
      <c r="V100" s="182"/>
      <c r="W100" s="182"/>
      <c r="X100" s="182">
        <f>8100+450+1602</f>
        <v>10152</v>
      </c>
      <c r="Y100" s="163">
        <f t="shared" si="35"/>
        <v>0</v>
      </c>
      <c r="Z100" s="182"/>
      <c r="AA100" s="182"/>
      <c r="AB100" s="182"/>
      <c r="AC100" s="182"/>
      <c r="AD100" s="235"/>
      <c r="AE100" s="163">
        <f t="shared" si="36"/>
        <v>7700</v>
      </c>
      <c r="AF100" s="182"/>
      <c r="AG100" s="182"/>
      <c r="AH100" s="182"/>
      <c r="AI100" s="182">
        <v>7700</v>
      </c>
      <c r="AJ100" s="134"/>
      <c r="AK100" s="32"/>
    </row>
    <row r="101" spans="1:38" s="22" customFormat="1" ht="37.9" customHeight="1" x14ac:dyDescent="0.2">
      <c r="A101" s="46" t="s">
        <v>143</v>
      </c>
      <c r="B101" s="47" t="s">
        <v>85</v>
      </c>
      <c r="C101" s="165">
        <f t="shared" si="29"/>
        <v>0</v>
      </c>
      <c r="D101" s="162">
        <f t="shared" ref="D101:AD101" si="39">SUM(D102:D102)</f>
        <v>0</v>
      </c>
      <c r="E101" s="162">
        <f t="shared" si="39"/>
        <v>0</v>
      </c>
      <c r="F101" s="162">
        <f t="shared" si="39"/>
        <v>0</v>
      </c>
      <c r="G101" s="162">
        <f t="shared" si="39"/>
        <v>0</v>
      </c>
      <c r="H101" s="162">
        <f t="shared" si="39"/>
        <v>0</v>
      </c>
      <c r="I101" s="163">
        <f t="shared" si="27"/>
        <v>0</v>
      </c>
      <c r="J101" s="164">
        <f t="shared" si="39"/>
        <v>0</v>
      </c>
      <c r="K101" s="164">
        <f t="shared" si="39"/>
        <v>0</v>
      </c>
      <c r="L101" s="164">
        <f t="shared" si="39"/>
        <v>0</v>
      </c>
      <c r="M101" s="164">
        <f t="shared" si="39"/>
        <v>0</v>
      </c>
      <c r="N101" s="163">
        <f t="shared" si="34"/>
        <v>0</v>
      </c>
      <c r="O101" s="164">
        <f t="shared" si="39"/>
        <v>0</v>
      </c>
      <c r="P101" s="164">
        <f t="shared" si="39"/>
        <v>0</v>
      </c>
      <c r="Q101" s="164">
        <f t="shared" si="39"/>
        <v>0</v>
      </c>
      <c r="R101" s="164">
        <f t="shared" si="39"/>
        <v>0</v>
      </c>
      <c r="S101" s="164">
        <f t="shared" si="39"/>
        <v>0</v>
      </c>
      <c r="T101" s="163">
        <f t="shared" si="28"/>
        <v>0</v>
      </c>
      <c r="U101" s="164">
        <f t="shared" si="39"/>
        <v>0</v>
      </c>
      <c r="V101" s="164">
        <f t="shared" si="39"/>
        <v>0</v>
      </c>
      <c r="W101" s="164">
        <f t="shared" si="39"/>
        <v>0</v>
      </c>
      <c r="X101" s="164">
        <f t="shared" si="39"/>
        <v>0</v>
      </c>
      <c r="Y101" s="163">
        <f t="shared" si="35"/>
        <v>0</v>
      </c>
      <c r="Z101" s="164">
        <f t="shared" si="39"/>
        <v>0</v>
      </c>
      <c r="AA101" s="164">
        <f t="shared" si="39"/>
        <v>0</v>
      </c>
      <c r="AB101" s="164">
        <f t="shared" si="39"/>
        <v>0</v>
      </c>
      <c r="AC101" s="164">
        <f t="shared" si="39"/>
        <v>0</v>
      </c>
      <c r="AD101" s="226">
        <f t="shared" si="39"/>
        <v>0</v>
      </c>
      <c r="AE101" s="163">
        <f t="shared" si="36"/>
        <v>0</v>
      </c>
      <c r="AF101" s="164"/>
      <c r="AG101" s="164"/>
      <c r="AH101" s="164"/>
      <c r="AI101" s="164"/>
      <c r="AJ101" s="45"/>
      <c r="AK101" s="21"/>
    </row>
    <row r="102" spans="1:38" s="16" customFormat="1" ht="56.25" customHeight="1" x14ac:dyDescent="0.25">
      <c r="A102" s="46" t="s">
        <v>144</v>
      </c>
      <c r="B102" s="47" t="s">
        <v>86</v>
      </c>
      <c r="C102" s="165">
        <f t="shared" si="29"/>
        <v>0</v>
      </c>
      <c r="D102" s="171"/>
      <c r="E102" s="171"/>
      <c r="F102" s="171"/>
      <c r="G102" s="171"/>
      <c r="H102" s="171"/>
      <c r="I102" s="163">
        <f t="shared" si="27"/>
        <v>0</v>
      </c>
      <c r="J102" s="168"/>
      <c r="K102" s="168"/>
      <c r="L102" s="168"/>
      <c r="M102" s="168"/>
      <c r="N102" s="163">
        <f t="shared" si="34"/>
        <v>0</v>
      </c>
      <c r="O102" s="168"/>
      <c r="P102" s="168"/>
      <c r="Q102" s="168"/>
      <c r="R102" s="168"/>
      <c r="S102" s="168"/>
      <c r="T102" s="163">
        <f t="shared" si="28"/>
        <v>0</v>
      </c>
      <c r="U102" s="168"/>
      <c r="V102" s="168"/>
      <c r="W102" s="168"/>
      <c r="X102" s="168"/>
      <c r="Y102" s="163">
        <f t="shared" si="35"/>
        <v>0</v>
      </c>
      <c r="Z102" s="168"/>
      <c r="AA102" s="168"/>
      <c r="AB102" s="168"/>
      <c r="AC102" s="168"/>
      <c r="AD102" s="228"/>
      <c r="AE102" s="163">
        <f t="shared" si="36"/>
        <v>0</v>
      </c>
      <c r="AF102" s="168"/>
      <c r="AG102" s="168"/>
      <c r="AH102" s="168"/>
      <c r="AI102" s="168"/>
      <c r="AJ102" s="56"/>
      <c r="AK102" s="25"/>
    </row>
    <row r="103" spans="1:38" s="16" customFormat="1" ht="19.899999999999999" customHeight="1" x14ac:dyDescent="0.25">
      <c r="A103" s="46" t="s">
        <v>145</v>
      </c>
      <c r="B103" s="47" t="s">
        <v>87</v>
      </c>
      <c r="C103" s="165">
        <f t="shared" si="29"/>
        <v>1101966</v>
      </c>
      <c r="D103" s="58">
        <f>+D104</f>
        <v>413476</v>
      </c>
      <c r="E103" s="58">
        <f t="shared" ref="E103:AI103" si="40">+E104</f>
        <v>688490</v>
      </c>
      <c r="F103" s="58">
        <f t="shared" si="40"/>
        <v>0</v>
      </c>
      <c r="G103" s="58">
        <f t="shared" si="40"/>
        <v>0</v>
      </c>
      <c r="H103" s="58">
        <f t="shared" si="40"/>
        <v>7500</v>
      </c>
      <c r="I103" s="163">
        <f t="shared" si="27"/>
        <v>497494</v>
      </c>
      <c r="J103" s="58">
        <f t="shared" si="40"/>
        <v>439977</v>
      </c>
      <c r="K103" s="58">
        <f t="shared" si="40"/>
        <v>54555</v>
      </c>
      <c r="L103" s="58">
        <f t="shared" si="40"/>
        <v>0</v>
      </c>
      <c r="M103" s="58">
        <f t="shared" si="40"/>
        <v>2962</v>
      </c>
      <c r="N103" s="163">
        <f t="shared" si="34"/>
        <v>1101966</v>
      </c>
      <c r="O103" s="58">
        <f t="shared" si="40"/>
        <v>413476</v>
      </c>
      <c r="P103" s="58">
        <f t="shared" si="40"/>
        <v>688490</v>
      </c>
      <c r="Q103" s="58">
        <f t="shared" si="40"/>
        <v>0</v>
      </c>
      <c r="R103" s="58">
        <f t="shared" si="40"/>
        <v>0</v>
      </c>
      <c r="S103" s="58">
        <f t="shared" si="40"/>
        <v>17028</v>
      </c>
      <c r="T103" s="163">
        <f t="shared" si="28"/>
        <v>748885</v>
      </c>
      <c r="U103" s="58">
        <f t="shared" si="40"/>
        <v>695054</v>
      </c>
      <c r="V103" s="58">
        <f t="shared" si="40"/>
        <v>53419</v>
      </c>
      <c r="W103" s="58">
        <f t="shared" si="40"/>
        <v>0</v>
      </c>
      <c r="X103" s="58">
        <f t="shared" si="40"/>
        <v>412</v>
      </c>
      <c r="Y103" s="163">
        <f t="shared" si="35"/>
        <v>1101966</v>
      </c>
      <c r="Z103" s="58">
        <f t="shared" si="40"/>
        <v>413476</v>
      </c>
      <c r="AA103" s="58">
        <f t="shared" si="40"/>
        <v>688490</v>
      </c>
      <c r="AB103" s="58">
        <f t="shared" si="40"/>
        <v>0</v>
      </c>
      <c r="AC103" s="58">
        <f t="shared" si="40"/>
        <v>0</v>
      </c>
      <c r="AD103" s="229">
        <f t="shared" si="40"/>
        <v>32298</v>
      </c>
      <c r="AE103" s="163">
        <f t="shared" si="36"/>
        <v>665000</v>
      </c>
      <c r="AF103" s="58">
        <f t="shared" si="40"/>
        <v>665000</v>
      </c>
      <c r="AG103" s="58">
        <f t="shared" si="40"/>
        <v>0</v>
      </c>
      <c r="AH103" s="58">
        <f t="shared" si="40"/>
        <v>0</v>
      </c>
      <c r="AI103" s="58">
        <f t="shared" si="40"/>
        <v>0</v>
      </c>
      <c r="AJ103" s="56"/>
      <c r="AK103" s="15"/>
    </row>
    <row r="104" spans="1:38" s="16" customFormat="1" ht="35.25" customHeight="1" x14ac:dyDescent="0.25">
      <c r="A104" s="46">
        <v>1</v>
      </c>
      <c r="B104" s="47" t="s">
        <v>194</v>
      </c>
      <c r="C104" s="165">
        <f t="shared" si="29"/>
        <v>1101966</v>
      </c>
      <c r="D104" s="58">
        <v>413476</v>
      </c>
      <c r="E104" s="58">
        <v>688490</v>
      </c>
      <c r="F104" s="58"/>
      <c r="G104" s="58"/>
      <c r="H104" s="58">
        <f>625*12</f>
        <v>7500</v>
      </c>
      <c r="I104" s="163">
        <f t="shared" si="27"/>
        <v>497494</v>
      </c>
      <c r="J104" s="184">
        <f>326104+33331+79967+575</f>
        <v>439977</v>
      </c>
      <c r="K104" s="184">
        <f>6756+17757+16312+8700+5030</f>
        <v>54555</v>
      </c>
      <c r="L104" s="184"/>
      <c r="M104" s="184">
        <f>261+2701</f>
        <v>2962</v>
      </c>
      <c r="N104" s="163">
        <f t="shared" si="34"/>
        <v>1101966</v>
      </c>
      <c r="O104" s="58">
        <v>413476</v>
      </c>
      <c r="P104" s="58">
        <v>688490</v>
      </c>
      <c r="Q104" s="184"/>
      <c r="R104" s="184"/>
      <c r="S104" s="184">
        <f>(1608+1230)/2*12</f>
        <v>17028</v>
      </c>
      <c r="T104" s="163">
        <f t="shared" si="28"/>
        <v>748885</v>
      </c>
      <c r="U104" s="184">
        <f>515400+48286+130642+726</f>
        <v>695054</v>
      </c>
      <c r="V104" s="184">
        <f>7183+6932+19044+12300+7960</f>
        <v>53419</v>
      </c>
      <c r="W104" s="184"/>
      <c r="X104" s="184">
        <f>412</f>
        <v>412</v>
      </c>
      <c r="Y104" s="163">
        <f t="shared" si="35"/>
        <v>1101966</v>
      </c>
      <c r="Z104" s="58">
        <v>413476</v>
      </c>
      <c r="AA104" s="58">
        <v>688490</v>
      </c>
      <c r="AB104" s="184"/>
      <c r="AC104" s="184"/>
      <c r="AD104" s="237">
        <f>(2910+2473)/2*12</f>
        <v>32298</v>
      </c>
      <c r="AE104" s="163">
        <f t="shared" si="36"/>
        <v>665000</v>
      </c>
      <c r="AF104" s="184">
        <v>665000</v>
      </c>
      <c r="AG104" s="184"/>
      <c r="AH104" s="184"/>
      <c r="AI104" s="184"/>
      <c r="AJ104" s="61"/>
    </row>
    <row r="105" spans="1:38" s="9" customFormat="1" ht="25.5" x14ac:dyDescent="0.2">
      <c r="A105" s="62" t="s">
        <v>146</v>
      </c>
      <c r="B105" s="63" t="s">
        <v>89</v>
      </c>
      <c r="C105" s="165">
        <f t="shared" si="29"/>
        <v>161599.54699999999</v>
      </c>
      <c r="D105" s="185">
        <f t="shared" ref="D105:S105" si="41">SUM(D106:D109)</f>
        <v>37303.667000000001</v>
      </c>
      <c r="E105" s="185">
        <f t="shared" si="41"/>
        <v>111843.374</v>
      </c>
      <c r="F105" s="185">
        <f t="shared" si="41"/>
        <v>1116</v>
      </c>
      <c r="G105" s="185">
        <f t="shared" si="41"/>
        <v>11336.505999999999</v>
      </c>
      <c r="H105" s="185">
        <f t="shared" si="41"/>
        <v>3903.28</v>
      </c>
      <c r="I105" s="163">
        <f t="shared" si="27"/>
        <v>9757.7157800000004</v>
      </c>
      <c r="J105" s="185">
        <f t="shared" si="41"/>
        <v>3347.2550000000001</v>
      </c>
      <c r="K105" s="185">
        <f t="shared" si="41"/>
        <v>1415.4607799999999</v>
      </c>
      <c r="L105" s="185">
        <f t="shared" si="41"/>
        <v>350</v>
      </c>
      <c r="M105" s="185">
        <f t="shared" si="41"/>
        <v>4645</v>
      </c>
      <c r="N105" s="163">
        <f t="shared" si="34"/>
        <v>169464.48</v>
      </c>
      <c r="O105" s="185">
        <f t="shared" si="41"/>
        <v>41406.915000000001</v>
      </c>
      <c r="P105" s="185">
        <f t="shared" si="41"/>
        <v>116583.174</v>
      </c>
      <c r="Q105" s="185">
        <f t="shared" si="41"/>
        <v>2093.6529999999998</v>
      </c>
      <c r="R105" s="185">
        <f t="shared" si="41"/>
        <v>9380.7379999999994</v>
      </c>
      <c r="S105" s="185">
        <f t="shared" si="41"/>
        <v>10258.099</v>
      </c>
      <c r="T105" s="163">
        <f t="shared" si="28"/>
        <v>8238.8870000000006</v>
      </c>
      <c r="U105" s="185">
        <f t="shared" ref="U105:AD105" si="42">SUM(U106:U109)</f>
        <v>2615.3320000000003</v>
      </c>
      <c r="V105" s="185">
        <f t="shared" si="42"/>
        <v>1634.5550000000001</v>
      </c>
      <c r="W105" s="185">
        <f t="shared" si="42"/>
        <v>405</v>
      </c>
      <c r="X105" s="185">
        <f t="shared" si="42"/>
        <v>3584</v>
      </c>
      <c r="Y105" s="163">
        <f t="shared" si="35"/>
        <v>341005.33099999995</v>
      </c>
      <c r="Z105" s="185">
        <f t="shared" si="42"/>
        <v>154010.41099999999</v>
      </c>
      <c r="AA105" s="185">
        <f t="shared" si="42"/>
        <v>165184.902</v>
      </c>
      <c r="AB105" s="185">
        <f t="shared" si="42"/>
        <v>2820.3530000000001</v>
      </c>
      <c r="AC105" s="185">
        <f t="shared" si="42"/>
        <v>18989.665000000001</v>
      </c>
      <c r="AD105" s="238">
        <f t="shared" si="42"/>
        <v>20969.924999999999</v>
      </c>
      <c r="AE105" s="163">
        <f t="shared" si="36"/>
        <v>11762.27</v>
      </c>
      <c r="AF105" s="185">
        <f>SUM(AF106:AF109)</f>
        <v>4565.96</v>
      </c>
      <c r="AG105" s="185">
        <f>SUM(AG106:AG109)</f>
        <v>1052.9000000000001</v>
      </c>
      <c r="AH105" s="185">
        <f>SUM(AH106:AH109)</f>
        <v>800</v>
      </c>
      <c r="AI105" s="185">
        <f>SUM(AI106:AI109)</f>
        <v>5343.41</v>
      </c>
      <c r="AJ105" s="64"/>
      <c r="AK105" s="33"/>
    </row>
    <row r="106" spans="1:38" s="35" customFormat="1" ht="28.5" customHeight="1" x14ac:dyDescent="0.25">
      <c r="A106" s="65"/>
      <c r="B106" s="66" t="s">
        <v>193</v>
      </c>
      <c r="C106" s="165">
        <f t="shared" si="29"/>
        <v>7915</v>
      </c>
      <c r="D106" s="186">
        <v>6200</v>
      </c>
      <c r="E106" s="186">
        <v>0</v>
      </c>
      <c r="F106" s="186">
        <v>558</v>
      </c>
      <c r="G106" s="186">
        <v>1157</v>
      </c>
      <c r="H106" s="186">
        <v>3885</v>
      </c>
      <c r="I106" s="163">
        <f t="shared" si="27"/>
        <v>697</v>
      </c>
      <c r="J106" s="186">
        <v>466</v>
      </c>
      <c r="K106" s="186">
        <v>231</v>
      </c>
      <c r="L106" s="186">
        <v>0</v>
      </c>
      <c r="M106" s="186">
        <v>0</v>
      </c>
      <c r="N106" s="163">
        <f t="shared" si="34"/>
        <v>11699</v>
      </c>
      <c r="O106" s="186">
        <v>8789</v>
      </c>
      <c r="P106" s="186"/>
      <c r="Q106" s="186">
        <v>1296</v>
      </c>
      <c r="R106" s="186">
        <v>1614</v>
      </c>
      <c r="S106" s="186">
        <v>4210</v>
      </c>
      <c r="T106" s="163">
        <f t="shared" si="28"/>
        <v>839</v>
      </c>
      <c r="U106" s="186">
        <v>505</v>
      </c>
      <c r="V106" s="186">
        <v>334</v>
      </c>
      <c r="W106" s="186">
        <v>0</v>
      </c>
      <c r="X106" s="186">
        <v>0</v>
      </c>
      <c r="Y106" s="163">
        <f t="shared" si="35"/>
        <v>18150</v>
      </c>
      <c r="Z106" s="186">
        <v>14140</v>
      </c>
      <c r="AA106" s="186">
        <v>0</v>
      </c>
      <c r="AB106" s="186">
        <v>1296</v>
      </c>
      <c r="AC106" s="186">
        <v>2714</v>
      </c>
      <c r="AD106" s="239">
        <v>5302</v>
      </c>
      <c r="AE106" s="163">
        <f t="shared" si="36"/>
        <v>798</v>
      </c>
      <c r="AF106" s="186">
        <v>573</v>
      </c>
      <c r="AG106" s="186">
        <v>225</v>
      </c>
      <c r="AH106" s="186">
        <v>0</v>
      </c>
      <c r="AI106" s="186">
        <v>0</v>
      </c>
      <c r="AJ106" s="67"/>
      <c r="AK106" s="34"/>
    </row>
    <row r="107" spans="1:38" s="9" customFormat="1" ht="28.5" customHeight="1" x14ac:dyDescent="0.2">
      <c r="A107" s="68"/>
      <c r="B107" s="69" t="s">
        <v>192</v>
      </c>
      <c r="C107" s="165">
        <f t="shared" si="29"/>
        <v>16807.172000000002</v>
      </c>
      <c r="D107" s="187">
        <v>11329.166999999999</v>
      </c>
      <c r="E107" s="187">
        <v>1302.174</v>
      </c>
      <c r="F107" s="187">
        <v>483.82499999999999</v>
      </c>
      <c r="G107" s="187">
        <v>3692.0059999999999</v>
      </c>
      <c r="H107" s="188">
        <v>8.5</v>
      </c>
      <c r="I107" s="163">
        <f t="shared" si="27"/>
        <v>6789</v>
      </c>
      <c r="J107" s="187">
        <v>1445</v>
      </c>
      <c r="K107" s="187">
        <v>349</v>
      </c>
      <c r="L107" s="187">
        <v>350</v>
      </c>
      <c r="M107" s="187">
        <v>4645</v>
      </c>
      <c r="N107" s="163">
        <f t="shared" si="34"/>
        <v>13612.480000000001</v>
      </c>
      <c r="O107" s="187">
        <v>11355.615</v>
      </c>
      <c r="P107" s="187">
        <v>130.17400000000001</v>
      </c>
      <c r="Q107" s="187">
        <v>480.75299999999999</v>
      </c>
      <c r="R107" s="187">
        <v>1645.9380000000001</v>
      </c>
      <c r="S107" s="189">
        <v>8.0990000000000002</v>
      </c>
      <c r="T107" s="163">
        <f t="shared" si="28"/>
        <v>4378.5169999999998</v>
      </c>
      <c r="U107" s="187">
        <v>1.6319999999999999</v>
      </c>
      <c r="V107" s="187">
        <v>387.88499999999999</v>
      </c>
      <c r="W107" s="187">
        <v>405</v>
      </c>
      <c r="X107" s="187">
        <v>3584</v>
      </c>
      <c r="Y107" s="163">
        <f t="shared" si="35"/>
        <v>168797.43100000001</v>
      </c>
      <c r="Z107" s="187">
        <v>114399.41099999999</v>
      </c>
      <c r="AA107" s="187">
        <v>51027.902000000002</v>
      </c>
      <c r="AB107" s="187">
        <v>1207.453</v>
      </c>
      <c r="AC107" s="187">
        <v>2162.665</v>
      </c>
      <c r="AD107" s="240">
        <v>8.125</v>
      </c>
      <c r="AE107" s="163">
        <f t="shared" si="36"/>
        <v>7911.41</v>
      </c>
      <c r="AF107" s="187">
        <f>1482</f>
        <v>1482</v>
      </c>
      <c r="AG107" s="187">
        <v>286</v>
      </c>
      <c r="AH107" s="187">
        <v>800</v>
      </c>
      <c r="AI107" s="187">
        <v>5343.41</v>
      </c>
      <c r="AJ107" s="70"/>
    </row>
    <row r="108" spans="1:38" s="9" customFormat="1" ht="28.5" customHeight="1" x14ac:dyDescent="0.2">
      <c r="A108" s="68"/>
      <c r="B108" s="69" t="s">
        <v>191</v>
      </c>
      <c r="C108" s="165">
        <f t="shared" si="29"/>
        <v>20825.375</v>
      </c>
      <c r="D108" s="190">
        <v>14104</v>
      </c>
      <c r="E108" s="191">
        <v>541.20000000000005</v>
      </c>
      <c r="F108" s="191">
        <v>74.174999999999997</v>
      </c>
      <c r="G108" s="190">
        <v>6106</v>
      </c>
      <c r="H108" s="191">
        <v>5.78</v>
      </c>
      <c r="I108" s="163">
        <f t="shared" si="27"/>
        <v>971.71578</v>
      </c>
      <c r="J108" s="191">
        <v>444.255</v>
      </c>
      <c r="K108" s="191">
        <v>527.46078</v>
      </c>
      <c r="L108" s="191"/>
      <c r="M108" s="191"/>
      <c r="N108" s="163">
        <f t="shared" si="34"/>
        <v>28105.9</v>
      </c>
      <c r="O108" s="191">
        <v>15549</v>
      </c>
      <c r="P108" s="191">
        <v>6453</v>
      </c>
      <c r="Q108" s="191">
        <v>316.89999999999998</v>
      </c>
      <c r="R108" s="191">
        <v>5787</v>
      </c>
      <c r="S108" s="191">
        <v>6034</v>
      </c>
      <c r="T108" s="163">
        <f t="shared" si="28"/>
        <v>1219.8699999999999</v>
      </c>
      <c r="U108" s="191">
        <v>653</v>
      </c>
      <c r="V108" s="191">
        <v>566.87</v>
      </c>
      <c r="W108" s="191"/>
      <c r="X108" s="191"/>
      <c r="Y108" s="163">
        <f t="shared" si="35"/>
        <v>23744.9</v>
      </c>
      <c r="Z108" s="191">
        <v>14885</v>
      </c>
      <c r="AA108" s="191">
        <v>4157</v>
      </c>
      <c r="AB108" s="191">
        <v>316.89999999999998</v>
      </c>
      <c r="AC108" s="191">
        <v>4386</v>
      </c>
      <c r="AD108" s="241">
        <v>8259.7999999999993</v>
      </c>
      <c r="AE108" s="163">
        <f t="shared" si="36"/>
        <v>807.86</v>
      </c>
      <c r="AF108" s="191">
        <v>656.96</v>
      </c>
      <c r="AG108" s="191">
        <v>150.9</v>
      </c>
      <c r="AH108" s="191"/>
      <c r="AI108" s="191"/>
      <c r="AJ108" s="71"/>
    </row>
    <row r="109" spans="1:38" s="9" customFormat="1" ht="28.5" customHeight="1" x14ac:dyDescent="0.2">
      <c r="A109" s="68"/>
      <c r="B109" s="72" t="s">
        <v>190</v>
      </c>
      <c r="C109" s="165">
        <f t="shared" si="29"/>
        <v>116052</v>
      </c>
      <c r="D109" s="192">
        <v>5670.5</v>
      </c>
      <c r="E109" s="193">
        <v>110000</v>
      </c>
      <c r="F109" s="193"/>
      <c r="G109" s="192">
        <v>381.5</v>
      </c>
      <c r="H109" s="193">
        <v>4</v>
      </c>
      <c r="I109" s="163">
        <f t="shared" si="27"/>
        <v>1300</v>
      </c>
      <c r="J109" s="193">
        <v>992</v>
      </c>
      <c r="K109" s="193">
        <v>308</v>
      </c>
      <c r="L109" s="193"/>
      <c r="M109" s="193"/>
      <c r="N109" s="163">
        <f t="shared" si="34"/>
        <v>116047.1</v>
      </c>
      <c r="O109" s="194">
        <v>5713.3</v>
      </c>
      <c r="P109" s="194">
        <v>110000</v>
      </c>
      <c r="Q109" s="194"/>
      <c r="R109" s="195">
        <v>333.8</v>
      </c>
      <c r="S109" s="194">
        <v>6</v>
      </c>
      <c r="T109" s="163">
        <f t="shared" si="28"/>
        <v>1801.5</v>
      </c>
      <c r="U109" s="192">
        <v>1455.7</v>
      </c>
      <c r="V109" s="192">
        <v>345.8</v>
      </c>
      <c r="W109" s="193"/>
      <c r="X109" s="193"/>
      <c r="Y109" s="163">
        <f t="shared" si="35"/>
        <v>130313</v>
      </c>
      <c r="Z109" s="194">
        <v>10586</v>
      </c>
      <c r="AA109" s="194">
        <v>110000</v>
      </c>
      <c r="AB109" s="194"/>
      <c r="AC109" s="194">
        <v>9727</v>
      </c>
      <c r="AD109" s="242">
        <v>7400</v>
      </c>
      <c r="AE109" s="163">
        <f t="shared" si="36"/>
        <v>2245</v>
      </c>
      <c r="AF109" s="193">
        <v>1854</v>
      </c>
      <c r="AG109" s="193">
        <v>391</v>
      </c>
      <c r="AH109" s="193"/>
      <c r="AI109" s="193"/>
      <c r="AJ109" s="73"/>
    </row>
    <row r="110" spans="1:38" s="22" customFormat="1" ht="30" customHeight="1" x14ac:dyDescent="0.2">
      <c r="A110" s="46" t="s">
        <v>195</v>
      </c>
      <c r="B110" s="47" t="s">
        <v>88</v>
      </c>
      <c r="C110" s="165">
        <f t="shared" si="29"/>
        <v>28457</v>
      </c>
      <c r="D110" s="173">
        <f>SUM(D111:D114)</f>
        <v>3628</v>
      </c>
      <c r="E110" s="173">
        <f t="shared" ref="E110:H110" si="43">SUM(E111:E114)</f>
        <v>14714</v>
      </c>
      <c r="F110" s="173">
        <f t="shared" si="43"/>
        <v>1610</v>
      </c>
      <c r="G110" s="173">
        <f t="shared" si="43"/>
        <v>8505</v>
      </c>
      <c r="H110" s="173">
        <f t="shared" si="43"/>
        <v>8.6</v>
      </c>
      <c r="I110" s="163">
        <f>SUM(J110:M110)</f>
        <v>19000</v>
      </c>
      <c r="J110" s="164">
        <f>SUM(J111:J114)</f>
        <v>0</v>
      </c>
      <c r="K110" s="164">
        <f t="shared" ref="K110:AD110" si="44">SUM(K111:K114)</f>
        <v>0</v>
      </c>
      <c r="L110" s="164">
        <f t="shared" si="44"/>
        <v>0</v>
      </c>
      <c r="M110" s="164">
        <f t="shared" si="44"/>
        <v>19000</v>
      </c>
      <c r="N110" s="163">
        <f t="shared" si="34"/>
        <v>73078</v>
      </c>
      <c r="O110" s="164">
        <f t="shared" si="44"/>
        <v>15998</v>
      </c>
      <c r="P110" s="164">
        <f t="shared" si="44"/>
        <v>38224</v>
      </c>
      <c r="Q110" s="164">
        <f t="shared" si="44"/>
        <v>720</v>
      </c>
      <c r="R110" s="164">
        <f t="shared" si="44"/>
        <v>18136</v>
      </c>
      <c r="S110" s="164">
        <f t="shared" si="44"/>
        <v>40.6</v>
      </c>
      <c r="T110" s="163">
        <f t="shared" ca="1" si="28"/>
        <v>26820</v>
      </c>
      <c r="U110" s="164">
        <f ca="1">SUM(U111:U114)</f>
        <v>0</v>
      </c>
      <c r="V110" s="164">
        <f t="shared" ref="V110:X110" si="45">SUM(V111:V114)</f>
        <v>0</v>
      </c>
      <c r="W110" s="164">
        <f t="shared" si="45"/>
        <v>0</v>
      </c>
      <c r="X110" s="164">
        <f t="shared" si="45"/>
        <v>26820</v>
      </c>
      <c r="Y110" s="163">
        <f t="shared" si="35"/>
        <v>54999</v>
      </c>
      <c r="Z110" s="164">
        <f t="shared" si="44"/>
        <v>12837</v>
      </c>
      <c r="AA110" s="164">
        <f t="shared" si="44"/>
        <v>31616</v>
      </c>
      <c r="AB110" s="164">
        <f t="shared" si="44"/>
        <v>360</v>
      </c>
      <c r="AC110" s="164">
        <f t="shared" si="44"/>
        <v>10186</v>
      </c>
      <c r="AD110" s="226">
        <f t="shared" si="44"/>
        <v>29.3</v>
      </c>
      <c r="AE110" s="163">
        <f t="shared" si="36"/>
        <v>33980</v>
      </c>
      <c r="AF110" s="164">
        <f>SUM(AF111:AF114)</f>
        <v>0</v>
      </c>
      <c r="AG110" s="164">
        <f t="shared" ref="AG110:AJ110" si="46">SUM(AG111:AG114)</f>
        <v>0</v>
      </c>
      <c r="AH110" s="164">
        <f t="shared" si="46"/>
        <v>0</v>
      </c>
      <c r="AI110" s="164">
        <f t="shared" si="46"/>
        <v>33980</v>
      </c>
      <c r="AJ110" s="45">
        <f t="shared" si="46"/>
        <v>0</v>
      </c>
      <c r="AK110" s="21"/>
      <c r="AL110" s="36"/>
    </row>
    <row r="111" spans="1:38" ht="54" customHeight="1" x14ac:dyDescent="0.25">
      <c r="A111" s="128">
        <v>1</v>
      </c>
      <c r="B111" s="130" t="s">
        <v>141</v>
      </c>
      <c r="C111" s="165">
        <f t="shared" si="29"/>
        <v>0</v>
      </c>
      <c r="D111" s="166"/>
      <c r="E111" s="166"/>
      <c r="F111" s="166"/>
      <c r="G111" s="166"/>
      <c r="H111" s="166"/>
      <c r="I111" s="163">
        <f t="shared" si="27"/>
        <v>18000</v>
      </c>
      <c r="J111" s="163"/>
      <c r="K111" s="163"/>
      <c r="L111" s="163"/>
      <c r="M111" s="163">
        <v>18000</v>
      </c>
      <c r="N111" s="163">
        <f>SUM(O111:R111)</f>
        <v>36539</v>
      </c>
      <c r="O111" s="163">
        <f>SUM(O112:O114)</f>
        <v>7999</v>
      </c>
      <c r="P111" s="163">
        <f t="shared" ref="P111:S111" si="47">SUM(P112:P114)</f>
        <v>19112</v>
      </c>
      <c r="Q111" s="163">
        <f t="shared" si="47"/>
        <v>360</v>
      </c>
      <c r="R111" s="163">
        <f t="shared" si="47"/>
        <v>9068</v>
      </c>
      <c r="S111" s="163">
        <f t="shared" si="47"/>
        <v>20.3</v>
      </c>
      <c r="T111" s="163">
        <f ca="1">SUM(U111:X111)</f>
        <v>26820</v>
      </c>
      <c r="U111" s="163">
        <f ca="1">SUM(U111:U113)</f>
        <v>0</v>
      </c>
      <c r="V111" s="163"/>
      <c r="W111" s="163"/>
      <c r="X111" s="163">
        <v>26820</v>
      </c>
      <c r="Y111" s="163">
        <f t="shared" si="35"/>
        <v>0</v>
      </c>
      <c r="Z111" s="163"/>
      <c r="AA111" s="163"/>
      <c r="AB111" s="163"/>
      <c r="AC111" s="163"/>
      <c r="AD111" s="225"/>
      <c r="AE111" s="163">
        <f t="shared" si="36"/>
        <v>29000</v>
      </c>
      <c r="AF111" s="163"/>
      <c r="AG111" s="163"/>
      <c r="AH111" s="163"/>
      <c r="AI111" s="163">
        <v>29000</v>
      </c>
      <c r="AJ111" s="48"/>
      <c r="AK111" s="26"/>
    </row>
    <row r="112" spans="1:38" ht="54" customHeight="1" x14ac:dyDescent="0.25">
      <c r="A112" s="128">
        <v>2</v>
      </c>
      <c r="B112" s="130" t="s">
        <v>189</v>
      </c>
      <c r="C112" s="165">
        <v>25179</v>
      </c>
      <c r="D112" s="166">
        <v>3504</v>
      </c>
      <c r="E112" s="166">
        <v>14714</v>
      </c>
      <c r="F112" s="166">
        <v>360</v>
      </c>
      <c r="G112" s="166">
        <v>6601</v>
      </c>
      <c r="H112" s="166" t="s">
        <v>235</v>
      </c>
      <c r="I112" s="163">
        <v>0</v>
      </c>
      <c r="J112" s="163"/>
      <c r="K112" s="163"/>
      <c r="L112" s="163"/>
      <c r="M112" s="163">
        <v>0</v>
      </c>
      <c r="N112" s="163">
        <v>30299</v>
      </c>
      <c r="O112" s="163">
        <v>3503</v>
      </c>
      <c r="P112" s="163">
        <v>19007</v>
      </c>
      <c r="Q112" s="163">
        <v>360</v>
      </c>
      <c r="R112" s="163">
        <v>7429</v>
      </c>
      <c r="S112" s="163">
        <v>11</v>
      </c>
      <c r="T112" s="163">
        <v>0</v>
      </c>
      <c r="U112" s="163"/>
      <c r="V112" s="163"/>
      <c r="W112" s="163"/>
      <c r="X112" s="163">
        <v>0</v>
      </c>
      <c r="Y112" s="163">
        <v>49188</v>
      </c>
      <c r="Z112" s="163">
        <v>8341</v>
      </c>
      <c r="AA112" s="163">
        <v>31511</v>
      </c>
      <c r="AB112" s="163">
        <v>360</v>
      </c>
      <c r="AC112" s="163">
        <v>8976</v>
      </c>
      <c r="AD112" s="225">
        <v>18.8</v>
      </c>
      <c r="AE112" s="163">
        <v>0</v>
      </c>
      <c r="AF112" s="163"/>
      <c r="AG112" s="163"/>
      <c r="AH112" s="163"/>
      <c r="AI112" s="163"/>
      <c r="AJ112" s="48"/>
      <c r="AK112" s="82"/>
    </row>
    <row r="113" spans="1:38" ht="54" customHeight="1" x14ac:dyDescent="0.25">
      <c r="A113" s="128">
        <v>3</v>
      </c>
      <c r="B113" s="130" t="s">
        <v>236</v>
      </c>
      <c r="C113" s="165">
        <v>3278</v>
      </c>
      <c r="D113" s="166">
        <v>124</v>
      </c>
      <c r="E113" s="166"/>
      <c r="F113" s="166">
        <v>1250</v>
      </c>
      <c r="G113" s="166">
        <v>1904</v>
      </c>
      <c r="H113" s="166">
        <v>8.6</v>
      </c>
      <c r="I113" s="163">
        <v>0</v>
      </c>
      <c r="J113" s="163"/>
      <c r="K113" s="163"/>
      <c r="L113" s="163"/>
      <c r="M113" s="163"/>
      <c r="N113" s="163">
        <v>6240</v>
      </c>
      <c r="O113" s="163">
        <v>4496</v>
      </c>
      <c r="P113" s="163">
        <v>105</v>
      </c>
      <c r="Q113" s="163"/>
      <c r="R113" s="163">
        <v>1639</v>
      </c>
      <c r="S113" s="163">
        <v>9.3000000000000007</v>
      </c>
      <c r="T113" s="163">
        <v>0</v>
      </c>
      <c r="U113" s="163"/>
      <c r="V113" s="163"/>
      <c r="W113" s="163"/>
      <c r="X113" s="163"/>
      <c r="Y113" s="163">
        <v>5811</v>
      </c>
      <c r="Z113" s="163">
        <v>4496</v>
      </c>
      <c r="AA113" s="163">
        <v>105</v>
      </c>
      <c r="AB113" s="163"/>
      <c r="AC113" s="163">
        <v>1210</v>
      </c>
      <c r="AD113" s="225">
        <v>10.5</v>
      </c>
      <c r="AE113" s="163">
        <v>0</v>
      </c>
      <c r="AF113" s="163"/>
      <c r="AG113" s="163"/>
      <c r="AH113" s="163"/>
      <c r="AI113" s="163"/>
      <c r="AJ113" s="48"/>
      <c r="AK113" s="82"/>
    </row>
    <row r="114" spans="1:38" ht="30" customHeight="1" x14ac:dyDescent="0.25">
      <c r="A114" s="128">
        <v>2</v>
      </c>
      <c r="B114" s="130" t="s">
        <v>122</v>
      </c>
      <c r="C114" s="165">
        <f t="shared" si="29"/>
        <v>0</v>
      </c>
      <c r="D114" s="166"/>
      <c r="E114" s="166"/>
      <c r="F114" s="166"/>
      <c r="G114" s="166"/>
      <c r="H114" s="166"/>
      <c r="I114" s="163">
        <f t="shared" si="27"/>
        <v>1000</v>
      </c>
      <c r="J114" s="163"/>
      <c r="K114" s="163"/>
      <c r="L114" s="163"/>
      <c r="M114" s="163">
        <v>1000</v>
      </c>
      <c r="N114" s="163">
        <f t="shared" si="34"/>
        <v>0</v>
      </c>
      <c r="O114" s="163"/>
      <c r="P114" s="163"/>
      <c r="Q114" s="163"/>
      <c r="R114" s="163"/>
      <c r="S114" s="163"/>
      <c r="T114" s="163">
        <f t="shared" si="28"/>
        <v>0</v>
      </c>
      <c r="U114" s="163"/>
      <c r="V114" s="163"/>
      <c r="W114" s="163"/>
      <c r="X114" s="163"/>
      <c r="Y114" s="163">
        <f t="shared" si="35"/>
        <v>0</v>
      </c>
      <c r="Z114" s="163"/>
      <c r="AA114" s="163"/>
      <c r="AB114" s="163"/>
      <c r="AC114" s="163"/>
      <c r="AD114" s="225"/>
      <c r="AE114" s="163">
        <f t="shared" si="36"/>
        <v>4980</v>
      </c>
      <c r="AF114" s="163"/>
      <c r="AG114" s="163"/>
      <c r="AH114" s="163"/>
      <c r="AI114" s="163">
        <v>4980</v>
      </c>
      <c r="AJ114" s="48"/>
      <c r="AK114" s="26"/>
    </row>
    <row r="115" spans="1:38" s="22" customFormat="1" ht="30" customHeight="1" x14ac:dyDescent="0.2">
      <c r="A115" s="46" t="s">
        <v>196</v>
      </c>
      <c r="B115" s="47" t="s">
        <v>89</v>
      </c>
      <c r="C115" s="270">
        <f t="shared" si="29"/>
        <v>583234.90643900004</v>
      </c>
      <c r="D115" s="162">
        <f t="shared" ref="D115:AI115" si="48">SUM(D116:D116)</f>
        <v>111672.65104</v>
      </c>
      <c r="E115" s="162">
        <f t="shared" si="48"/>
        <v>337600.23339900002</v>
      </c>
      <c r="F115" s="162">
        <f t="shared" si="48"/>
        <v>50898.574999999997</v>
      </c>
      <c r="G115" s="162">
        <f t="shared" si="48"/>
        <v>83063.447</v>
      </c>
      <c r="H115" s="162">
        <f t="shared" si="48"/>
        <v>16843.454889991444</v>
      </c>
      <c r="I115" s="163">
        <f t="shared" si="27"/>
        <v>430514.70850000007</v>
      </c>
      <c r="J115" s="164">
        <f t="shared" si="48"/>
        <v>84503.920467999997</v>
      </c>
      <c r="K115" s="164">
        <f t="shared" si="48"/>
        <v>52348.342032</v>
      </c>
      <c r="L115" s="164">
        <f t="shared" si="48"/>
        <v>203111.00400000002</v>
      </c>
      <c r="M115" s="164">
        <f t="shared" si="48"/>
        <v>90551.44200000001</v>
      </c>
      <c r="N115" s="163">
        <f t="shared" si="34"/>
        <v>684419.68533000001</v>
      </c>
      <c r="O115" s="164">
        <f t="shared" si="48"/>
        <v>294094.688524</v>
      </c>
      <c r="P115" s="164">
        <f t="shared" si="48"/>
        <v>193915.53</v>
      </c>
      <c r="Q115" s="164">
        <f t="shared" si="48"/>
        <v>67722.932285999996</v>
      </c>
      <c r="R115" s="164">
        <f t="shared" si="48"/>
        <v>128686.53452000002</v>
      </c>
      <c r="S115" s="164">
        <f t="shared" si="48"/>
        <v>18024.436440053083</v>
      </c>
      <c r="T115" s="163">
        <f t="shared" si="28"/>
        <v>355666.049</v>
      </c>
      <c r="U115" s="164">
        <v>0</v>
      </c>
      <c r="V115" s="164">
        <v>0</v>
      </c>
      <c r="W115" s="164">
        <f t="shared" si="48"/>
        <v>355666.049</v>
      </c>
      <c r="X115" s="164">
        <v>0</v>
      </c>
      <c r="Y115" s="163">
        <f t="shared" si="35"/>
        <v>693950.78078400006</v>
      </c>
      <c r="Z115" s="164">
        <f t="shared" si="48"/>
        <v>239963.125</v>
      </c>
      <c r="AA115" s="164">
        <f t="shared" si="48"/>
        <v>248183.39400000003</v>
      </c>
      <c r="AB115" s="164">
        <f t="shared" si="48"/>
        <v>65058.792999999991</v>
      </c>
      <c r="AC115" s="164">
        <f t="shared" si="48"/>
        <v>140745.46878400003</v>
      </c>
      <c r="AD115" s="226">
        <f t="shared" si="48"/>
        <v>17880.543821465977</v>
      </c>
      <c r="AE115" s="163">
        <f t="shared" si="36"/>
        <v>1253828.8380000002</v>
      </c>
      <c r="AF115" s="164">
        <f t="shared" si="48"/>
        <v>85669.937000000005</v>
      </c>
      <c r="AG115" s="164">
        <f t="shared" si="48"/>
        <v>75093.463000000003</v>
      </c>
      <c r="AH115" s="164">
        <f t="shared" si="48"/>
        <v>903912.4850000001</v>
      </c>
      <c r="AI115" s="164">
        <f t="shared" si="48"/>
        <v>189152.95300000001</v>
      </c>
      <c r="AJ115" s="45"/>
      <c r="AK115" s="21"/>
    </row>
    <row r="116" spans="1:38" s="37" customFormat="1" ht="30" customHeight="1" x14ac:dyDescent="0.25">
      <c r="A116" s="46" t="s">
        <v>147</v>
      </c>
      <c r="B116" s="47" t="s">
        <v>90</v>
      </c>
      <c r="C116" s="270">
        <f t="shared" si="29"/>
        <v>583234.90643900004</v>
      </c>
      <c r="D116" s="171">
        <f t="shared" ref="D116:AI116" si="49">SUM(D117:D147)</f>
        <v>111672.65104</v>
      </c>
      <c r="E116" s="171">
        <f t="shared" si="49"/>
        <v>337600.23339900002</v>
      </c>
      <c r="F116" s="171">
        <f t="shared" si="49"/>
        <v>50898.574999999997</v>
      </c>
      <c r="G116" s="171">
        <f t="shared" si="49"/>
        <v>83063.447</v>
      </c>
      <c r="H116" s="171">
        <f t="shared" si="49"/>
        <v>16843.454889991444</v>
      </c>
      <c r="I116" s="171">
        <f t="shared" si="49"/>
        <v>430514.70850000001</v>
      </c>
      <c r="J116" s="171">
        <f t="shared" si="49"/>
        <v>84503.920467999997</v>
      </c>
      <c r="K116" s="171">
        <f t="shared" si="49"/>
        <v>52348.342032</v>
      </c>
      <c r="L116" s="171">
        <f t="shared" si="49"/>
        <v>203111.00400000002</v>
      </c>
      <c r="M116" s="171">
        <f t="shared" si="49"/>
        <v>90551.44200000001</v>
      </c>
      <c r="N116" s="171">
        <f t="shared" si="49"/>
        <v>684419.68532999989</v>
      </c>
      <c r="O116" s="171">
        <f t="shared" si="49"/>
        <v>294094.688524</v>
      </c>
      <c r="P116" s="171">
        <f t="shared" si="49"/>
        <v>193915.53</v>
      </c>
      <c r="Q116" s="171">
        <f t="shared" si="49"/>
        <v>67722.932285999996</v>
      </c>
      <c r="R116" s="171">
        <f t="shared" si="49"/>
        <v>128686.53452000002</v>
      </c>
      <c r="S116" s="171">
        <f t="shared" si="49"/>
        <v>18024.436440053083</v>
      </c>
      <c r="T116" s="171">
        <f t="shared" ca="1" si="49"/>
        <v>113155.27604</v>
      </c>
      <c r="U116" s="171">
        <f t="shared" si="49"/>
        <v>89660.881335999991</v>
      </c>
      <c r="V116" s="171">
        <f t="shared" ca="1" si="49"/>
        <v>113155.27604</v>
      </c>
      <c r="W116" s="171">
        <f t="shared" si="49"/>
        <v>355666.049</v>
      </c>
      <c r="X116" s="171">
        <f t="shared" si="49"/>
        <v>102378.106</v>
      </c>
      <c r="Y116" s="171">
        <f t="shared" si="49"/>
        <v>693950.78078400006</v>
      </c>
      <c r="Z116" s="171">
        <f t="shared" si="49"/>
        <v>239963.125</v>
      </c>
      <c r="AA116" s="171">
        <f t="shared" si="49"/>
        <v>248183.39400000003</v>
      </c>
      <c r="AB116" s="171">
        <f t="shared" si="49"/>
        <v>65058.792999999991</v>
      </c>
      <c r="AC116" s="171">
        <f t="shared" si="49"/>
        <v>140745.46878400003</v>
      </c>
      <c r="AD116" s="243">
        <f t="shared" si="49"/>
        <v>17880.543821465977</v>
      </c>
      <c r="AE116" s="171">
        <f t="shared" si="49"/>
        <v>1253828.838</v>
      </c>
      <c r="AF116" s="171">
        <f t="shared" si="49"/>
        <v>85669.937000000005</v>
      </c>
      <c r="AG116" s="171">
        <f t="shared" si="49"/>
        <v>75093.463000000003</v>
      </c>
      <c r="AH116" s="171">
        <f t="shared" si="49"/>
        <v>903912.4850000001</v>
      </c>
      <c r="AI116" s="171">
        <f t="shared" si="49"/>
        <v>189152.95300000001</v>
      </c>
      <c r="AJ116" s="57"/>
      <c r="AK116" s="25"/>
    </row>
    <row r="117" spans="1:38" s="39" customFormat="1" ht="30" customHeight="1" x14ac:dyDescent="0.25">
      <c r="A117" s="51">
        <v>1</v>
      </c>
      <c r="B117" s="50" t="s">
        <v>182</v>
      </c>
      <c r="C117" s="165">
        <f t="shared" si="29"/>
        <v>0</v>
      </c>
      <c r="D117" s="181"/>
      <c r="E117" s="181"/>
      <c r="F117" s="181"/>
      <c r="G117" s="181"/>
      <c r="H117" s="181"/>
      <c r="I117" s="163">
        <f t="shared" si="27"/>
        <v>320</v>
      </c>
      <c r="J117" s="182">
        <v>202</v>
      </c>
      <c r="K117" s="182">
        <v>118</v>
      </c>
      <c r="L117" s="182"/>
      <c r="M117" s="182"/>
      <c r="N117" s="163">
        <f t="shared" si="34"/>
        <v>0</v>
      </c>
      <c r="O117" s="182"/>
      <c r="P117" s="182"/>
      <c r="Q117" s="182"/>
      <c r="R117" s="182"/>
      <c r="S117" s="182"/>
      <c r="T117" s="163">
        <f t="shared" si="28"/>
        <v>344</v>
      </c>
      <c r="U117" s="182">
        <v>222</v>
      </c>
      <c r="V117" s="182">
        <v>122</v>
      </c>
      <c r="W117" s="182"/>
      <c r="X117" s="182"/>
      <c r="Y117" s="163">
        <f t="shared" si="35"/>
        <v>0</v>
      </c>
      <c r="Z117" s="182"/>
      <c r="AA117" s="182"/>
      <c r="AB117" s="182"/>
      <c r="AC117" s="182"/>
      <c r="AD117" s="235"/>
      <c r="AE117" s="163">
        <f t="shared" si="36"/>
        <v>0</v>
      </c>
      <c r="AF117" s="182"/>
      <c r="AG117" s="182"/>
      <c r="AH117" s="182"/>
      <c r="AI117" s="182"/>
      <c r="AJ117" s="134"/>
      <c r="AK117" s="38"/>
    </row>
    <row r="118" spans="1:38" s="39" customFormat="1" ht="30" customHeight="1" x14ac:dyDescent="0.25">
      <c r="A118" s="51">
        <v>2</v>
      </c>
      <c r="B118" s="130" t="s">
        <v>241</v>
      </c>
      <c r="C118" s="196"/>
      <c r="D118" s="181"/>
      <c r="E118" s="181"/>
      <c r="F118" s="181"/>
      <c r="G118" s="181"/>
      <c r="H118" s="181"/>
      <c r="I118" s="163">
        <f t="shared" ref="I118" si="50">SUM(J118:M118)</f>
        <v>1887</v>
      </c>
      <c r="J118" s="293">
        <v>853</v>
      </c>
      <c r="K118" s="293">
        <v>353</v>
      </c>
      <c r="L118" s="182"/>
      <c r="M118" s="293">
        <v>681</v>
      </c>
      <c r="N118" s="182"/>
      <c r="O118" s="182"/>
      <c r="P118" s="182"/>
      <c r="Q118" s="182"/>
      <c r="R118" s="182"/>
      <c r="S118" s="182"/>
      <c r="T118" s="163">
        <f t="shared" ref="T118" si="51">SUM(U118:X118)</f>
        <v>906</v>
      </c>
      <c r="U118" s="182">
        <v>519</v>
      </c>
      <c r="V118" s="182">
        <v>220</v>
      </c>
      <c r="W118" s="182"/>
      <c r="X118" s="182">
        <v>167</v>
      </c>
      <c r="Y118" s="182">
        <f>+SUM(Z118:AC118)</f>
        <v>109.92</v>
      </c>
      <c r="Z118" s="182"/>
      <c r="AA118" s="182"/>
      <c r="AB118" s="182"/>
      <c r="AC118" s="182">
        <v>109.92</v>
      </c>
      <c r="AD118" s="244">
        <v>3.8</v>
      </c>
      <c r="AE118" s="163">
        <f t="shared" ref="AE118" si="52">SUM(AF118:AI118)</f>
        <v>1478</v>
      </c>
      <c r="AF118" s="182">
        <v>985</v>
      </c>
      <c r="AG118" s="182">
        <v>398</v>
      </c>
      <c r="AH118" s="182"/>
      <c r="AI118" s="182">
        <v>95</v>
      </c>
      <c r="AJ118" s="134"/>
      <c r="AK118" s="38"/>
    </row>
    <row r="119" spans="1:38" s="39" customFormat="1" ht="30" customHeight="1" x14ac:dyDescent="0.25">
      <c r="A119" s="51">
        <v>3</v>
      </c>
      <c r="B119" s="130" t="s">
        <v>124</v>
      </c>
      <c r="C119" s="165">
        <f t="shared" si="29"/>
        <v>0</v>
      </c>
      <c r="D119" s="181"/>
      <c r="E119" s="181"/>
      <c r="F119" s="181"/>
      <c r="G119" s="181"/>
      <c r="H119" s="181"/>
      <c r="I119" s="163">
        <f t="shared" si="27"/>
        <v>0</v>
      </c>
      <c r="J119" s="293"/>
      <c r="K119" s="293"/>
      <c r="L119" s="182"/>
      <c r="M119" s="293"/>
      <c r="N119" s="163">
        <f t="shared" si="34"/>
        <v>0</v>
      </c>
      <c r="O119" s="182"/>
      <c r="P119" s="182"/>
      <c r="Q119" s="182"/>
      <c r="R119" s="182"/>
      <c r="S119" s="182"/>
      <c r="T119" s="163">
        <f t="shared" si="28"/>
        <v>8165</v>
      </c>
      <c r="U119" s="182">
        <v>1149</v>
      </c>
      <c r="V119" s="182">
        <v>349</v>
      </c>
      <c r="W119" s="182"/>
      <c r="X119" s="182">
        <v>6667</v>
      </c>
      <c r="Y119" s="163">
        <f t="shared" si="35"/>
        <v>0</v>
      </c>
      <c r="Z119" s="182"/>
      <c r="AA119" s="182"/>
      <c r="AB119" s="182"/>
      <c r="AC119" s="182"/>
      <c r="AD119" s="235"/>
      <c r="AE119" s="163">
        <f t="shared" si="36"/>
        <v>13790</v>
      </c>
      <c r="AF119" s="182">
        <f>1304+2298</f>
        <v>3602</v>
      </c>
      <c r="AG119" s="182">
        <v>1555</v>
      </c>
      <c r="AH119" s="182"/>
      <c r="AI119" s="182">
        <v>8633</v>
      </c>
      <c r="AJ119" s="134"/>
      <c r="AK119" s="38"/>
    </row>
    <row r="120" spans="1:38" s="39" customFormat="1" ht="30" customHeight="1" x14ac:dyDescent="0.25">
      <c r="A120" s="51">
        <v>4</v>
      </c>
      <c r="B120" s="130" t="s">
        <v>125</v>
      </c>
      <c r="C120" s="165">
        <f t="shared" si="29"/>
        <v>0</v>
      </c>
      <c r="D120" s="181"/>
      <c r="E120" s="181"/>
      <c r="F120" s="181"/>
      <c r="G120" s="181"/>
      <c r="H120" s="181"/>
      <c r="I120" s="163">
        <f t="shared" si="27"/>
        <v>0</v>
      </c>
      <c r="J120" s="182"/>
      <c r="K120" s="182"/>
      <c r="L120" s="182"/>
      <c r="M120" s="182" t="s">
        <v>94</v>
      </c>
      <c r="N120" s="163">
        <f t="shared" si="34"/>
        <v>193</v>
      </c>
      <c r="O120" s="182"/>
      <c r="P120" s="182"/>
      <c r="Q120" s="182"/>
      <c r="R120" s="182">
        <v>193</v>
      </c>
      <c r="S120" s="197">
        <v>5.62</v>
      </c>
      <c r="T120" s="163">
        <f t="shared" si="28"/>
        <v>516.08500000000004</v>
      </c>
      <c r="U120" s="182">
        <v>403</v>
      </c>
      <c r="V120" s="197">
        <f>42.885+70.2</f>
        <v>113.08500000000001</v>
      </c>
      <c r="W120" s="182"/>
      <c r="X120" s="182"/>
      <c r="Y120" s="163">
        <f t="shared" si="35"/>
        <v>0</v>
      </c>
      <c r="Z120" s="182"/>
      <c r="AA120" s="182"/>
      <c r="AB120" s="182"/>
      <c r="AC120" s="182"/>
      <c r="AD120" s="245">
        <v>7.83</v>
      </c>
      <c r="AE120" s="163">
        <f t="shared" si="36"/>
        <v>500</v>
      </c>
      <c r="AF120" s="182">
        <v>500</v>
      </c>
      <c r="AG120" s="182"/>
      <c r="AH120" s="182"/>
      <c r="AI120" s="182"/>
      <c r="AJ120" s="134"/>
      <c r="AK120" s="38"/>
      <c r="AL120" s="40" t="s">
        <v>200</v>
      </c>
    </row>
    <row r="121" spans="1:38" s="39" customFormat="1" ht="30" customHeight="1" x14ac:dyDescent="0.25">
      <c r="A121" s="51">
        <v>5</v>
      </c>
      <c r="B121" s="130" t="s">
        <v>187</v>
      </c>
      <c r="C121" s="165">
        <f t="shared" si="29"/>
        <v>0</v>
      </c>
      <c r="D121" s="181"/>
      <c r="E121" s="181"/>
      <c r="F121" s="181"/>
      <c r="G121" s="181"/>
      <c r="H121" s="181"/>
      <c r="I121" s="163">
        <f t="shared" si="27"/>
        <v>566</v>
      </c>
      <c r="J121" s="182">
        <v>529</v>
      </c>
      <c r="K121" s="182">
        <v>37</v>
      </c>
      <c r="L121" s="182"/>
      <c r="M121" s="182"/>
      <c r="N121" s="163">
        <f t="shared" si="34"/>
        <v>0</v>
      </c>
      <c r="O121" s="182"/>
      <c r="P121" s="182"/>
      <c r="Q121" s="182"/>
      <c r="R121" s="182"/>
      <c r="S121" s="182"/>
      <c r="T121" s="163">
        <f t="shared" si="28"/>
        <v>0</v>
      </c>
      <c r="U121" s="182"/>
      <c r="V121" s="182"/>
      <c r="W121" s="182"/>
      <c r="X121" s="182"/>
      <c r="Y121" s="163">
        <f t="shared" si="35"/>
        <v>0</v>
      </c>
      <c r="Z121" s="182"/>
      <c r="AA121" s="182"/>
      <c r="AB121" s="182"/>
      <c r="AC121" s="182"/>
      <c r="AD121" s="235"/>
      <c r="AE121" s="163">
        <f t="shared" si="36"/>
        <v>0</v>
      </c>
      <c r="AF121" s="182"/>
      <c r="AG121" s="182"/>
      <c r="AH121" s="182"/>
      <c r="AI121" s="182"/>
      <c r="AJ121" s="134"/>
      <c r="AK121" s="38"/>
    </row>
    <row r="122" spans="1:38" s="39" customFormat="1" ht="30" customHeight="1" x14ac:dyDescent="0.25">
      <c r="A122" s="51">
        <v>6</v>
      </c>
      <c r="B122" s="130" t="s">
        <v>126</v>
      </c>
      <c r="C122" s="165">
        <f t="shared" si="29"/>
        <v>218.27</v>
      </c>
      <c r="D122" s="198"/>
      <c r="E122" s="182"/>
      <c r="F122" s="182"/>
      <c r="G122" s="182">
        <v>218.27</v>
      </c>
      <c r="H122" s="182"/>
      <c r="I122" s="163">
        <f t="shared" si="27"/>
        <v>0</v>
      </c>
      <c r="J122" s="182"/>
      <c r="K122" s="182"/>
      <c r="L122" s="182"/>
      <c r="M122" s="182"/>
      <c r="N122" s="163">
        <f t="shared" si="34"/>
        <v>282.98</v>
      </c>
      <c r="O122" s="182">
        <v>19.98</v>
      </c>
      <c r="P122" s="182"/>
      <c r="Q122" s="182"/>
      <c r="R122" s="182">
        <f>45+218</f>
        <v>263</v>
      </c>
      <c r="S122" s="182"/>
      <c r="T122" s="163">
        <f t="shared" si="28"/>
        <v>680</v>
      </c>
      <c r="U122" s="182">
        <v>533</v>
      </c>
      <c r="V122" s="182">
        <v>147</v>
      </c>
      <c r="W122" s="182"/>
      <c r="X122" s="182"/>
      <c r="Y122" s="163">
        <f t="shared" si="35"/>
        <v>283</v>
      </c>
      <c r="Z122" s="182">
        <v>20</v>
      </c>
      <c r="AA122" s="182"/>
      <c r="AB122" s="182"/>
      <c r="AC122" s="182">
        <v>263</v>
      </c>
      <c r="AD122" s="235"/>
      <c r="AE122" s="163">
        <f t="shared" si="36"/>
        <v>678</v>
      </c>
      <c r="AF122" s="182">
        <v>514</v>
      </c>
      <c r="AG122" s="182">
        <v>164</v>
      </c>
      <c r="AH122" s="182"/>
      <c r="AI122" s="182"/>
      <c r="AJ122" s="134"/>
      <c r="AK122" s="38"/>
    </row>
    <row r="123" spans="1:38" s="39" customFormat="1" ht="30" customHeight="1" x14ac:dyDescent="0.25">
      <c r="A123" s="51">
        <v>7</v>
      </c>
      <c r="B123" s="130" t="s">
        <v>181</v>
      </c>
      <c r="C123" s="165">
        <f>SUM(D123:G123)</f>
        <v>164</v>
      </c>
      <c r="D123" s="181"/>
      <c r="E123" s="181"/>
      <c r="F123" s="181"/>
      <c r="G123" s="181">
        <v>164</v>
      </c>
      <c r="H123" s="181">
        <v>46</v>
      </c>
      <c r="I123" s="163">
        <f t="shared" si="27"/>
        <v>144</v>
      </c>
      <c r="J123" s="182"/>
      <c r="K123" s="182"/>
      <c r="L123" s="182"/>
      <c r="M123" s="182">
        <v>144</v>
      </c>
      <c r="N123" s="163">
        <v>94</v>
      </c>
      <c r="O123" s="182"/>
      <c r="P123" s="182"/>
      <c r="Q123" s="182"/>
      <c r="R123" s="182">
        <f>N123</f>
        <v>94</v>
      </c>
      <c r="S123" s="182">
        <v>63</v>
      </c>
      <c r="T123" s="163">
        <f t="shared" si="28"/>
        <v>3746.9250000000002</v>
      </c>
      <c r="U123" s="182"/>
      <c r="V123" s="182"/>
      <c r="W123" s="182"/>
      <c r="X123" s="182">
        <v>3746.9250000000002</v>
      </c>
      <c r="Y123" s="163">
        <f t="shared" si="35"/>
        <v>0</v>
      </c>
      <c r="Z123" s="182"/>
      <c r="AA123" s="182"/>
      <c r="AB123" s="182"/>
      <c r="AC123" s="182">
        <v>0</v>
      </c>
      <c r="AD123" s="235">
        <v>78</v>
      </c>
      <c r="AE123" s="163">
        <f t="shared" si="36"/>
        <v>0</v>
      </c>
      <c r="AF123" s="182"/>
      <c r="AG123" s="182"/>
      <c r="AH123" s="182"/>
      <c r="AI123" s="182"/>
      <c r="AJ123" s="134"/>
      <c r="AK123" s="38"/>
    </row>
    <row r="124" spans="1:38" s="39" customFormat="1" ht="30" customHeight="1" x14ac:dyDescent="0.25">
      <c r="A124" s="51">
        <v>8</v>
      </c>
      <c r="B124" s="130" t="s">
        <v>127</v>
      </c>
      <c r="C124" s="165">
        <f t="shared" si="29"/>
        <v>221.19200000000001</v>
      </c>
      <c r="D124" s="181"/>
      <c r="E124" s="181"/>
      <c r="F124" s="181"/>
      <c r="G124" s="181">
        <v>221.19200000000001</v>
      </c>
      <c r="H124" s="181"/>
      <c r="I124" s="163">
        <f t="shared" si="27"/>
        <v>613</v>
      </c>
      <c r="J124" s="182">
        <v>406</v>
      </c>
      <c r="K124" s="182">
        <v>129</v>
      </c>
      <c r="L124" s="182"/>
      <c r="M124" s="182">
        <v>78</v>
      </c>
      <c r="N124" s="163">
        <v>227.726</v>
      </c>
      <c r="O124" s="182"/>
      <c r="P124" s="182"/>
      <c r="Q124" s="182"/>
      <c r="R124" s="199">
        <f>N124</f>
        <v>227.726</v>
      </c>
      <c r="S124" s="182"/>
      <c r="T124" s="163">
        <f t="shared" si="28"/>
        <v>729</v>
      </c>
      <c r="U124" s="182">
        <v>460</v>
      </c>
      <c r="V124" s="182">
        <v>171</v>
      </c>
      <c r="W124" s="182"/>
      <c r="X124" s="182">
        <v>98</v>
      </c>
      <c r="Y124" s="163">
        <f t="shared" si="35"/>
        <v>272.12400000000002</v>
      </c>
      <c r="Z124" s="182"/>
      <c r="AA124" s="182"/>
      <c r="AB124" s="199"/>
      <c r="AC124" s="182">
        <v>272.12400000000002</v>
      </c>
      <c r="AD124" s="235">
        <v>98</v>
      </c>
      <c r="AE124" s="163">
        <f t="shared" si="36"/>
        <v>647</v>
      </c>
      <c r="AF124" s="182">
        <v>483</v>
      </c>
      <c r="AG124" s="182">
        <v>164</v>
      </c>
      <c r="AH124" s="182"/>
      <c r="AI124" s="182"/>
      <c r="AJ124" s="134"/>
      <c r="AK124" s="38"/>
    </row>
    <row r="125" spans="1:38" s="39" customFormat="1" ht="30" customHeight="1" x14ac:dyDescent="0.25">
      <c r="A125" s="51">
        <v>9</v>
      </c>
      <c r="B125" s="130" t="s">
        <v>128</v>
      </c>
      <c r="C125" s="165">
        <f t="shared" si="29"/>
        <v>0</v>
      </c>
      <c r="D125" s="181"/>
      <c r="E125" s="181"/>
      <c r="F125" s="181"/>
      <c r="G125" s="181"/>
      <c r="H125" s="181"/>
      <c r="I125" s="163">
        <f t="shared" si="27"/>
        <v>2620</v>
      </c>
      <c r="J125" s="182">
        <v>1230</v>
      </c>
      <c r="K125" s="182">
        <v>390</v>
      </c>
      <c r="L125" s="182"/>
      <c r="M125" s="182">
        <v>1000</v>
      </c>
      <c r="N125" s="163">
        <f t="shared" si="34"/>
        <v>0</v>
      </c>
      <c r="O125" s="182"/>
      <c r="P125" s="182"/>
      <c r="Q125" s="182"/>
      <c r="R125" s="182"/>
      <c r="S125" s="182"/>
      <c r="T125" s="163">
        <f t="shared" si="28"/>
        <v>2876</v>
      </c>
      <c r="U125" s="182">
        <v>1435</v>
      </c>
      <c r="V125" s="182">
        <v>433</v>
      </c>
      <c r="W125" s="182"/>
      <c r="X125" s="182">
        <v>1008</v>
      </c>
      <c r="Y125" s="163">
        <f t="shared" si="35"/>
        <v>0</v>
      </c>
      <c r="Z125" s="182"/>
      <c r="AA125" s="182"/>
      <c r="AB125" s="182"/>
      <c r="AC125" s="182"/>
      <c r="AD125" s="235"/>
      <c r="AE125" s="163">
        <f t="shared" si="36"/>
        <v>3541</v>
      </c>
      <c r="AF125" s="182">
        <v>1802</v>
      </c>
      <c r="AG125" s="182">
        <v>601</v>
      </c>
      <c r="AH125" s="182"/>
      <c r="AI125" s="182">
        <v>1138</v>
      </c>
      <c r="AJ125" s="134"/>
      <c r="AK125" s="38"/>
    </row>
    <row r="126" spans="1:38" s="39" customFormat="1" ht="30" customHeight="1" x14ac:dyDescent="0.25">
      <c r="A126" s="51">
        <v>10</v>
      </c>
      <c r="B126" s="130" t="s">
        <v>129</v>
      </c>
      <c r="C126" s="165">
        <f t="shared" si="29"/>
        <v>0</v>
      </c>
      <c r="D126" s="181"/>
      <c r="E126" s="181"/>
      <c r="F126" s="181"/>
      <c r="G126" s="181"/>
      <c r="H126" s="181"/>
      <c r="I126" s="163">
        <f t="shared" si="27"/>
        <v>1104</v>
      </c>
      <c r="J126" s="182">
        <v>406</v>
      </c>
      <c r="K126" s="182">
        <v>98</v>
      </c>
      <c r="L126" s="182"/>
      <c r="M126" s="182">
        <v>600</v>
      </c>
      <c r="N126" s="163">
        <f t="shared" si="34"/>
        <v>0</v>
      </c>
      <c r="O126" s="182"/>
      <c r="P126" s="182"/>
      <c r="Q126" s="182"/>
      <c r="R126" s="182"/>
      <c r="S126" s="182"/>
      <c r="T126" s="163">
        <f t="shared" si="28"/>
        <v>1472</v>
      </c>
      <c r="U126" s="182">
        <v>616</v>
      </c>
      <c r="V126" s="182">
        <v>136</v>
      </c>
      <c r="W126" s="182"/>
      <c r="X126" s="182">
        <v>720</v>
      </c>
      <c r="Y126" s="163">
        <f t="shared" si="35"/>
        <v>0</v>
      </c>
      <c r="Z126" s="182"/>
      <c r="AA126" s="182"/>
      <c r="AB126" s="182"/>
      <c r="AC126" s="182"/>
      <c r="AD126" s="235"/>
      <c r="AE126" s="163">
        <f t="shared" si="36"/>
        <v>665</v>
      </c>
      <c r="AF126" s="182">
        <v>665</v>
      </c>
      <c r="AG126" s="182"/>
      <c r="AH126" s="182"/>
      <c r="AI126" s="182">
        <v>0</v>
      </c>
      <c r="AJ126" s="134"/>
      <c r="AK126" s="38"/>
    </row>
    <row r="127" spans="1:38" s="39" customFormat="1" ht="30" customHeight="1" x14ac:dyDescent="0.25">
      <c r="A127" s="51">
        <v>11</v>
      </c>
      <c r="B127" s="130" t="s">
        <v>116</v>
      </c>
      <c r="C127" s="165">
        <f t="shared" si="29"/>
        <v>0</v>
      </c>
      <c r="D127" s="181"/>
      <c r="E127" s="181"/>
      <c r="F127" s="181"/>
      <c r="G127" s="181"/>
      <c r="H127" s="181"/>
      <c r="I127" s="163">
        <f t="shared" si="27"/>
        <v>4370</v>
      </c>
      <c r="J127" s="182"/>
      <c r="K127" s="182"/>
      <c r="L127" s="182"/>
      <c r="M127" s="182">
        <v>4370</v>
      </c>
      <c r="N127" s="163">
        <f t="shared" si="34"/>
        <v>0</v>
      </c>
      <c r="O127" s="182"/>
      <c r="P127" s="182"/>
      <c r="Q127" s="182"/>
      <c r="R127" s="182"/>
      <c r="S127" s="182"/>
      <c r="T127" s="163">
        <f t="shared" si="28"/>
        <v>1035</v>
      </c>
      <c r="U127" s="182"/>
      <c r="V127" s="182"/>
      <c r="W127" s="182"/>
      <c r="X127" s="182">
        <v>1035</v>
      </c>
      <c r="Y127" s="163">
        <f t="shared" si="35"/>
        <v>0</v>
      </c>
      <c r="Z127" s="182"/>
      <c r="AA127" s="182"/>
      <c r="AB127" s="182"/>
      <c r="AC127" s="182"/>
      <c r="AD127" s="235"/>
      <c r="AE127" s="163">
        <f t="shared" si="36"/>
        <v>2010</v>
      </c>
      <c r="AF127" s="182"/>
      <c r="AG127" s="182"/>
      <c r="AH127" s="182"/>
      <c r="AI127" s="182">
        <v>2010</v>
      </c>
      <c r="AJ127" s="134"/>
      <c r="AK127" s="38"/>
    </row>
    <row r="128" spans="1:38" s="39" customFormat="1" ht="30" customHeight="1" x14ac:dyDescent="0.25">
      <c r="A128" s="51">
        <v>12</v>
      </c>
      <c r="B128" s="130" t="s">
        <v>130</v>
      </c>
      <c r="C128" s="165">
        <f t="shared" si="29"/>
        <v>0</v>
      </c>
      <c r="D128" s="181"/>
      <c r="E128" s="181"/>
      <c r="F128" s="181"/>
      <c r="G128" s="181"/>
      <c r="H128" s="181"/>
      <c r="I128" s="163">
        <f t="shared" si="27"/>
        <v>4358</v>
      </c>
      <c r="J128" s="182">
        <v>546</v>
      </c>
      <c r="K128" s="182">
        <v>212</v>
      </c>
      <c r="L128" s="182"/>
      <c r="M128" s="182">
        <v>3600</v>
      </c>
      <c r="N128" s="163">
        <f t="shared" si="34"/>
        <v>0</v>
      </c>
      <c r="O128" s="182"/>
      <c r="P128" s="182"/>
      <c r="Q128" s="182"/>
      <c r="R128" s="182"/>
      <c r="S128" s="182"/>
      <c r="T128" s="163">
        <f t="shared" si="28"/>
        <v>3983</v>
      </c>
      <c r="U128" s="182">
        <v>613</v>
      </c>
      <c r="V128" s="182">
        <v>220</v>
      </c>
      <c r="W128" s="182"/>
      <c r="X128" s="182">
        <v>3150</v>
      </c>
      <c r="Y128" s="163">
        <f t="shared" si="35"/>
        <v>0</v>
      </c>
      <c r="Z128" s="182"/>
      <c r="AA128" s="182"/>
      <c r="AB128" s="182"/>
      <c r="AC128" s="182"/>
      <c r="AD128" s="235"/>
      <c r="AE128" s="163">
        <f t="shared" si="36"/>
        <v>4511</v>
      </c>
      <c r="AF128" s="182">
        <v>805</v>
      </c>
      <c r="AG128" s="182">
        <v>206</v>
      </c>
      <c r="AH128" s="182"/>
      <c r="AI128" s="182">
        <v>3500</v>
      </c>
      <c r="AJ128" s="134"/>
      <c r="AK128" s="38"/>
    </row>
    <row r="129" spans="1:37" s="39" customFormat="1" ht="30" customHeight="1" x14ac:dyDescent="0.25">
      <c r="A129" s="51">
        <v>13</v>
      </c>
      <c r="B129" s="130" t="s">
        <v>189</v>
      </c>
      <c r="C129" s="165">
        <f t="shared" si="29"/>
        <v>0</v>
      </c>
      <c r="D129" s="181"/>
      <c r="E129" s="181"/>
      <c r="F129" s="181"/>
      <c r="G129" s="181"/>
      <c r="H129" s="181"/>
      <c r="I129" s="163">
        <f t="shared" si="27"/>
        <v>1350</v>
      </c>
      <c r="J129" s="182"/>
      <c r="K129" s="182"/>
      <c r="L129" s="182"/>
      <c r="M129" s="182">
        <v>1350</v>
      </c>
      <c r="N129" s="163">
        <f t="shared" si="34"/>
        <v>0</v>
      </c>
      <c r="O129" s="182"/>
      <c r="P129" s="182"/>
      <c r="Q129" s="182"/>
      <c r="R129" s="182"/>
      <c r="S129" s="182"/>
      <c r="T129" s="163">
        <f t="shared" si="28"/>
        <v>0</v>
      </c>
      <c r="U129" s="182"/>
      <c r="V129" s="182"/>
      <c r="W129" s="182"/>
      <c r="X129" s="182"/>
      <c r="Y129" s="163">
        <f t="shared" si="35"/>
        <v>0</v>
      </c>
      <c r="Z129" s="182"/>
      <c r="AA129" s="182"/>
      <c r="AB129" s="182"/>
      <c r="AC129" s="182"/>
      <c r="AD129" s="235"/>
      <c r="AE129" s="163">
        <f t="shared" si="36"/>
        <v>0</v>
      </c>
      <c r="AF129" s="182"/>
      <c r="AG129" s="182"/>
      <c r="AH129" s="182"/>
      <c r="AI129" s="182"/>
      <c r="AJ129" s="134"/>
      <c r="AK129" s="38"/>
    </row>
    <row r="130" spans="1:37" s="78" customFormat="1" ht="30" customHeight="1" x14ac:dyDescent="0.25">
      <c r="A130" s="144">
        <v>14</v>
      </c>
      <c r="B130" s="66" t="s">
        <v>188</v>
      </c>
      <c r="C130" s="165">
        <f t="shared" si="29"/>
        <v>16904.738439000001</v>
      </c>
      <c r="D130" s="74">
        <v>1968.69904</v>
      </c>
      <c r="E130" s="74">
        <v>14936.039398999999</v>
      </c>
      <c r="F130" s="75"/>
      <c r="G130" s="75"/>
      <c r="H130" s="75">
        <v>4</v>
      </c>
      <c r="I130" s="163">
        <f t="shared" si="27"/>
        <v>3982.0839999999998</v>
      </c>
      <c r="J130" s="76">
        <f>1898.402+450.792+460.768+28.87</f>
        <v>2838.8319999999999</v>
      </c>
      <c r="K130" s="76">
        <f>77.652+3.264+176.782+209.574+31.95+35.624+10.8+61.364+274.545+31.147+88+142.55</f>
        <v>1143.2520000000002</v>
      </c>
      <c r="L130" s="76"/>
      <c r="M130" s="76"/>
      <c r="N130" s="163">
        <f t="shared" si="34"/>
        <v>17423.388466</v>
      </c>
      <c r="O130" s="76"/>
      <c r="P130" s="76"/>
      <c r="Q130" s="76"/>
      <c r="R130" s="74">
        <v>17423.388466</v>
      </c>
      <c r="S130" s="76"/>
      <c r="T130" s="163">
        <f t="shared" ca="1" si="28"/>
        <v>3983</v>
      </c>
      <c r="U130" s="76">
        <f>3818.018+739.254+904.758+14.254</f>
        <v>5476.2839999999997</v>
      </c>
      <c r="V130" s="76">
        <f ca="1">T130-U130</f>
        <v>1981.7160000000003</v>
      </c>
      <c r="W130" s="76"/>
      <c r="X130" s="76"/>
      <c r="Y130" s="163">
        <f t="shared" si="35"/>
        <v>27858.839784</v>
      </c>
      <c r="Z130" s="76"/>
      <c r="AA130" s="76"/>
      <c r="AB130" s="76"/>
      <c r="AC130" s="74">
        <v>27858.839784</v>
      </c>
      <c r="AD130" s="246">
        <v>9</v>
      </c>
      <c r="AE130" s="163">
        <f t="shared" si="36"/>
        <v>0</v>
      </c>
      <c r="AF130" s="76"/>
      <c r="AG130" s="76"/>
      <c r="AH130" s="76"/>
      <c r="AI130" s="76"/>
      <c r="AJ130" s="76"/>
      <c r="AK130" s="77"/>
    </row>
    <row r="131" spans="1:37" s="39" customFormat="1" ht="30" customHeight="1" x14ac:dyDescent="0.25">
      <c r="A131" s="144">
        <v>15</v>
      </c>
      <c r="B131" s="130" t="s">
        <v>131</v>
      </c>
      <c r="C131" s="165">
        <f t="shared" si="29"/>
        <v>11195.499</v>
      </c>
      <c r="D131" s="181">
        <v>5763</v>
      </c>
      <c r="E131" s="181">
        <v>3835.96</v>
      </c>
      <c r="F131" s="181">
        <v>0</v>
      </c>
      <c r="G131" s="181">
        <v>1596.539</v>
      </c>
      <c r="H131" s="181">
        <v>210.55323333333334</v>
      </c>
      <c r="I131" s="163">
        <f t="shared" si="27"/>
        <v>9650</v>
      </c>
      <c r="J131" s="182">
        <v>1535</v>
      </c>
      <c r="K131" s="182">
        <v>1063</v>
      </c>
      <c r="L131" s="182">
        <v>2290</v>
      </c>
      <c r="M131" s="182">
        <v>4762</v>
      </c>
      <c r="N131" s="163">
        <f t="shared" si="34"/>
        <v>16617.499</v>
      </c>
      <c r="O131" s="182">
        <v>8875</v>
      </c>
      <c r="P131" s="182">
        <v>4394.96</v>
      </c>
      <c r="Q131" s="182">
        <v>1009</v>
      </c>
      <c r="R131" s="182">
        <v>2338.5389999999998</v>
      </c>
      <c r="S131" s="182">
        <v>1324.1281300000001</v>
      </c>
      <c r="T131" s="163">
        <f t="shared" si="28"/>
        <v>26614.417000000001</v>
      </c>
      <c r="U131" s="182">
        <v>2188.4169999999999</v>
      </c>
      <c r="V131" s="182">
        <v>1299</v>
      </c>
      <c r="W131" s="182">
        <v>21923</v>
      </c>
      <c r="X131" s="182">
        <v>1204</v>
      </c>
      <c r="Y131" s="163">
        <f t="shared" si="35"/>
        <v>13164</v>
      </c>
      <c r="Z131" s="182">
        <v>6745</v>
      </c>
      <c r="AA131" s="182">
        <v>3027</v>
      </c>
      <c r="AB131" s="182">
        <v>1177</v>
      </c>
      <c r="AC131" s="182">
        <v>2215</v>
      </c>
      <c r="AD131" s="235">
        <v>1346.0122900000001</v>
      </c>
      <c r="AE131" s="163">
        <f t="shared" si="36"/>
        <v>16471</v>
      </c>
      <c r="AF131" s="182">
        <v>1549</v>
      </c>
      <c r="AG131" s="182">
        <v>1219</v>
      </c>
      <c r="AH131" s="182">
        <v>1219</v>
      </c>
      <c r="AI131" s="182">
        <v>12484</v>
      </c>
      <c r="AJ131" s="134"/>
      <c r="AK131" s="38"/>
    </row>
    <row r="132" spans="1:37" s="39" customFormat="1" ht="30.75" customHeight="1" x14ac:dyDescent="0.25">
      <c r="A132" s="144">
        <v>16</v>
      </c>
      <c r="B132" s="130" t="s">
        <v>184</v>
      </c>
      <c r="C132" s="165">
        <f t="shared" si="29"/>
        <v>0</v>
      </c>
      <c r="D132" s="181"/>
      <c r="E132" s="181"/>
      <c r="F132" s="181"/>
      <c r="G132" s="181"/>
      <c r="H132" s="181"/>
      <c r="I132" s="163">
        <f t="shared" si="27"/>
        <v>118</v>
      </c>
      <c r="J132" s="182">
        <v>107</v>
      </c>
      <c r="K132" s="182">
        <v>11</v>
      </c>
      <c r="L132" s="182"/>
      <c r="M132" s="182"/>
      <c r="N132" s="163">
        <f t="shared" si="34"/>
        <v>0</v>
      </c>
      <c r="O132" s="182"/>
      <c r="P132" s="182"/>
      <c r="Q132" s="182"/>
      <c r="R132" s="182"/>
      <c r="S132" s="182"/>
      <c r="T132" s="163">
        <f t="shared" si="28"/>
        <v>277</v>
      </c>
      <c r="U132" s="182">
        <v>227</v>
      </c>
      <c r="V132" s="182">
        <v>50</v>
      </c>
      <c r="W132" s="182"/>
      <c r="X132" s="182"/>
      <c r="Y132" s="163">
        <f t="shared" si="35"/>
        <v>0</v>
      </c>
      <c r="Z132" s="182"/>
      <c r="AA132" s="182"/>
      <c r="AB132" s="182"/>
      <c r="AC132" s="182"/>
      <c r="AD132" s="235"/>
      <c r="AE132" s="163">
        <f t="shared" si="36"/>
        <v>0</v>
      </c>
      <c r="AF132" s="182"/>
      <c r="AG132" s="182"/>
      <c r="AH132" s="182"/>
      <c r="AI132" s="182"/>
      <c r="AJ132" s="134"/>
      <c r="AK132" s="38"/>
    </row>
    <row r="133" spans="1:37" s="39" customFormat="1" ht="30" customHeight="1" x14ac:dyDescent="0.25">
      <c r="A133" s="144">
        <v>17</v>
      </c>
      <c r="B133" s="50" t="s">
        <v>201</v>
      </c>
      <c r="C133" s="165">
        <f t="shared" si="29"/>
        <v>137244</v>
      </c>
      <c r="D133" s="182">
        <v>14182</v>
      </c>
      <c r="E133" s="182">
        <v>120236</v>
      </c>
      <c r="F133" s="182">
        <v>511</v>
      </c>
      <c r="G133" s="182">
        <v>2315</v>
      </c>
      <c r="H133" s="182">
        <v>3.6</v>
      </c>
      <c r="I133" s="163">
        <f t="shared" si="27"/>
        <v>10859</v>
      </c>
      <c r="J133" s="182">
        <v>1625</v>
      </c>
      <c r="K133" s="182"/>
      <c r="L133" s="182"/>
      <c r="M133" s="182">
        <v>9234</v>
      </c>
      <c r="N133" s="163">
        <f t="shared" si="34"/>
        <v>141918</v>
      </c>
      <c r="O133" s="182">
        <v>14274</v>
      </c>
      <c r="P133" s="182">
        <v>120236</v>
      </c>
      <c r="Q133" s="182">
        <v>5119</v>
      </c>
      <c r="R133" s="182">
        <v>2289</v>
      </c>
      <c r="S133" s="182">
        <v>4.9000000000000004</v>
      </c>
      <c r="T133" s="163">
        <f t="shared" si="28"/>
        <v>2132</v>
      </c>
      <c r="U133" s="182">
        <v>1415</v>
      </c>
      <c r="V133" s="182"/>
      <c r="W133" s="182"/>
      <c r="X133" s="182">
        <v>717</v>
      </c>
      <c r="Y133" s="163">
        <f t="shared" si="35"/>
        <v>139867</v>
      </c>
      <c r="Z133" s="182">
        <v>16279</v>
      </c>
      <c r="AA133" s="182">
        <v>120236</v>
      </c>
      <c r="AB133" s="182">
        <v>511</v>
      </c>
      <c r="AC133" s="182">
        <f>2841</f>
        <v>2841</v>
      </c>
      <c r="AD133" s="235">
        <v>6.1</v>
      </c>
      <c r="AE133" s="163">
        <f t="shared" si="36"/>
        <v>3743</v>
      </c>
      <c r="AF133" s="182">
        <v>1151</v>
      </c>
      <c r="AG133" s="182"/>
      <c r="AH133" s="182"/>
      <c r="AI133" s="182">
        <v>2592</v>
      </c>
      <c r="AJ133" s="134"/>
      <c r="AK133" s="38"/>
    </row>
    <row r="134" spans="1:37" s="39" customFormat="1" ht="30" customHeight="1" x14ac:dyDescent="0.25">
      <c r="A134" s="144">
        <v>19</v>
      </c>
      <c r="B134" s="130" t="s">
        <v>132</v>
      </c>
      <c r="C134" s="165">
        <f t="shared" si="29"/>
        <v>120923.47500000001</v>
      </c>
      <c r="D134" s="196">
        <v>3634.625</v>
      </c>
      <c r="E134" s="196">
        <v>115376.474</v>
      </c>
      <c r="F134" s="196">
        <v>1104</v>
      </c>
      <c r="G134" s="196">
        <v>808.37599999999998</v>
      </c>
      <c r="H134" s="181">
        <v>75</v>
      </c>
      <c r="I134" s="163">
        <f t="shared" si="27"/>
        <v>9498</v>
      </c>
      <c r="J134" s="182">
        <v>1840</v>
      </c>
      <c r="K134" s="182">
        <v>423</v>
      </c>
      <c r="L134" s="182"/>
      <c r="M134" s="182">
        <v>7235</v>
      </c>
      <c r="N134" s="163">
        <f t="shared" si="34"/>
        <v>0</v>
      </c>
      <c r="O134" s="182"/>
      <c r="P134" s="182"/>
      <c r="Q134" s="182"/>
      <c r="R134" s="182"/>
      <c r="S134" s="182">
        <v>75</v>
      </c>
      <c r="T134" s="163">
        <f t="shared" si="28"/>
        <v>9705</v>
      </c>
      <c r="U134" s="182">
        <v>2158</v>
      </c>
      <c r="V134" s="182">
        <v>707</v>
      </c>
      <c r="W134" s="182"/>
      <c r="X134" s="182">
        <v>6840</v>
      </c>
      <c r="Y134" s="163">
        <f t="shared" si="35"/>
        <v>0</v>
      </c>
      <c r="Z134" s="182"/>
      <c r="AA134" s="182"/>
      <c r="AB134" s="182"/>
      <c r="AC134" s="182"/>
      <c r="AD134" s="235">
        <v>75</v>
      </c>
      <c r="AE134" s="163">
        <f t="shared" si="36"/>
        <v>10745</v>
      </c>
      <c r="AF134" s="182">
        <v>2612</v>
      </c>
      <c r="AG134" s="182">
        <v>633</v>
      </c>
      <c r="AH134" s="182"/>
      <c r="AI134" s="182">
        <v>7500</v>
      </c>
      <c r="AJ134" s="134"/>
      <c r="AK134" s="38"/>
    </row>
    <row r="135" spans="1:37" s="39" customFormat="1" ht="30" customHeight="1" x14ac:dyDescent="0.25">
      <c r="A135" s="144">
        <v>20</v>
      </c>
      <c r="B135" s="130" t="s">
        <v>133</v>
      </c>
      <c r="C135" s="196">
        <f>D135+E135+F135+G135</f>
        <v>925</v>
      </c>
      <c r="D135" s="181"/>
      <c r="E135" s="181"/>
      <c r="F135" s="181">
        <v>230</v>
      </c>
      <c r="G135" s="181">
        <v>695</v>
      </c>
      <c r="H135" s="181">
        <v>4</v>
      </c>
      <c r="I135" s="163">
        <f t="shared" ref="I135" si="53">SUM(J135:M135)</f>
        <v>1927</v>
      </c>
      <c r="J135" s="182">
        <v>1322</v>
      </c>
      <c r="K135" s="182">
        <v>170</v>
      </c>
      <c r="L135" s="182"/>
      <c r="M135" s="182">
        <v>435</v>
      </c>
      <c r="N135" s="182">
        <f>O135+P135+Q135+R135</f>
        <v>1270</v>
      </c>
      <c r="O135" s="182"/>
      <c r="P135" s="182"/>
      <c r="Q135" s="182">
        <v>539</v>
      </c>
      <c r="R135" s="182">
        <v>731</v>
      </c>
      <c r="S135" s="182">
        <v>4.8</v>
      </c>
      <c r="T135" s="163">
        <f t="shared" ref="T135" si="54">SUM(U135:X135)</f>
        <v>2490</v>
      </c>
      <c r="U135" s="182">
        <v>1463</v>
      </c>
      <c r="V135" s="182">
        <v>275</v>
      </c>
      <c r="W135" s="182"/>
      <c r="X135" s="182">
        <v>752</v>
      </c>
      <c r="Y135" s="182">
        <f>Z135+AA135+AB135+AC135</f>
        <v>801</v>
      </c>
      <c r="Z135" s="182"/>
      <c r="AA135" s="182"/>
      <c r="AB135" s="182">
        <v>148</v>
      </c>
      <c r="AC135" s="182">
        <v>653</v>
      </c>
      <c r="AD135" s="244">
        <v>5.8</v>
      </c>
      <c r="AE135" s="163">
        <f t="shared" ref="AE135" si="55">SUM(AF135:AI135)</f>
        <v>3117</v>
      </c>
      <c r="AF135" s="182">
        <v>1605</v>
      </c>
      <c r="AG135" s="182">
        <v>212</v>
      </c>
      <c r="AH135" s="182"/>
      <c r="AI135" s="182">
        <v>1300</v>
      </c>
      <c r="AJ135" s="134"/>
      <c r="AK135" s="38"/>
    </row>
    <row r="136" spans="1:37" s="39" customFormat="1" ht="35.25" customHeight="1" x14ac:dyDescent="0.25">
      <c r="A136" s="144">
        <v>21</v>
      </c>
      <c r="B136" s="130" t="s">
        <v>134</v>
      </c>
      <c r="C136" s="165">
        <f t="shared" si="29"/>
        <v>0</v>
      </c>
      <c r="D136" s="181"/>
      <c r="E136" s="181"/>
      <c r="F136" s="181"/>
      <c r="G136" s="181"/>
      <c r="H136" s="181"/>
      <c r="I136" s="163">
        <f t="shared" si="27"/>
        <v>2229</v>
      </c>
      <c r="J136" s="182">
        <f>539+653</f>
        <v>1192</v>
      </c>
      <c r="K136" s="182">
        <f>181+196</f>
        <v>377</v>
      </c>
      <c r="L136" s="182"/>
      <c r="M136" s="182">
        <f>410+250</f>
        <v>660</v>
      </c>
      <c r="N136" s="163">
        <f t="shared" si="34"/>
        <v>0</v>
      </c>
      <c r="O136" s="182"/>
      <c r="P136" s="182"/>
      <c r="Q136" s="182"/>
      <c r="R136" s="182"/>
      <c r="S136" s="182"/>
      <c r="T136" s="163">
        <f t="shared" si="28"/>
        <v>2240</v>
      </c>
      <c r="U136" s="182">
        <f>607+749</f>
        <v>1356</v>
      </c>
      <c r="V136" s="182">
        <f>245+266</f>
        <v>511</v>
      </c>
      <c r="W136" s="182"/>
      <c r="X136" s="182">
        <f>114+259</f>
        <v>373</v>
      </c>
      <c r="Y136" s="163">
        <f t="shared" si="35"/>
        <v>0</v>
      </c>
      <c r="Z136" s="182"/>
      <c r="AA136" s="182"/>
      <c r="AB136" s="182"/>
      <c r="AC136" s="182"/>
      <c r="AD136" s="235"/>
      <c r="AE136" s="163">
        <f t="shared" si="36"/>
        <v>4699</v>
      </c>
      <c r="AF136" s="182">
        <v>1841</v>
      </c>
      <c r="AG136" s="182">
        <v>654</v>
      </c>
      <c r="AH136" s="182"/>
      <c r="AI136" s="182">
        <v>2204</v>
      </c>
      <c r="AJ136" s="134"/>
      <c r="AK136" s="38"/>
    </row>
    <row r="137" spans="1:37" s="39" customFormat="1" ht="39.75" customHeight="1" x14ac:dyDescent="0.25">
      <c r="A137" s="144">
        <v>22</v>
      </c>
      <c r="B137" s="130" t="s">
        <v>135</v>
      </c>
      <c r="C137" s="165">
        <f t="shared" si="29"/>
        <v>0</v>
      </c>
      <c r="D137" s="181"/>
      <c r="E137" s="181"/>
      <c r="F137" s="181"/>
      <c r="G137" s="181"/>
      <c r="H137" s="181"/>
      <c r="I137" s="163">
        <f t="shared" si="27"/>
        <v>974</v>
      </c>
      <c r="J137" s="182">
        <v>728</v>
      </c>
      <c r="K137" s="182">
        <v>246</v>
      </c>
      <c r="L137" s="182"/>
      <c r="M137" s="182"/>
      <c r="N137" s="163">
        <f t="shared" si="34"/>
        <v>0</v>
      </c>
      <c r="O137" s="182"/>
      <c r="P137" s="182"/>
      <c r="Q137" s="182"/>
      <c r="R137" s="182"/>
      <c r="S137" s="182"/>
      <c r="T137" s="163">
        <f t="shared" si="28"/>
        <v>1140</v>
      </c>
      <c r="U137" s="182">
        <v>853</v>
      </c>
      <c r="V137" s="182">
        <v>287</v>
      </c>
      <c r="W137" s="182"/>
      <c r="X137" s="182"/>
      <c r="Y137" s="163">
        <f t="shared" si="35"/>
        <v>0</v>
      </c>
      <c r="Z137" s="182"/>
      <c r="AA137" s="182"/>
      <c r="AB137" s="182"/>
      <c r="AC137" s="182"/>
      <c r="AD137" s="235"/>
      <c r="AE137" s="163">
        <f t="shared" si="36"/>
        <v>1212</v>
      </c>
      <c r="AF137" s="182">
        <v>903</v>
      </c>
      <c r="AG137" s="182">
        <v>309</v>
      </c>
      <c r="AH137" s="182"/>
      <c r="AI137" s="182"/>
      <c r="AJ137" s="134"/>
      <c r="AK137" s="38"/>
    </row>
    <row r="138" spans="1:37" s="39" customFormat="1" ht="30" customHeight="1" x14ac:dyDescent="0.25">
      <c r="A138" s="144">
        <v>23</v>
      </c>
      <c r="B138" s="130" t="s">
        <v>183</v>
      </c>
      <c r="C138" s="165">
        <f t="shared" si="29"/>
        <v>0</v>
      </c>
      <c r="D138" s="181"/>
      <c r="E138" s="181"/>
      <c r="F138" s="181"/>
      <c r="G138" s="181"/>
      <c r="H138" s="181"/>
      <c r="I138" s="163">
        <f t="shared" si="27"/>
        <v>610</v>
      </c>
      <c r="J138" s="182">
        <v>210</v>
      </c>
      <c r="K138" s="182">
        <v>70</v>
      </c>
      <c r="L138" s="182"/>
      <c r="M138" s="182">
        <v>330</v>
      </c>
      <c r="N138" s="163">
        <f t="shared" si="34"/>
        <v>0</v>
      </c>
      <c r="O138" s="182"/>
      <c r="P138" s="182"/>
      <c r="Q138" s="182"/>
      <c r="R138" s="182"/>
      <c r="S138" s="182"/>
      <c r="T138" s="163">
        <f t="shared" si="28"/>
        <v>499</v>
      </c>
      <c r="U138" s="182">
        <v>218</v>
      </c>
      <c r="V138" s="182">
        <v>73</v>
      </c>
      <c r="W138" s="182"/>
      <c r="X138" s="182">
        <v>208</v>
      </c>
      <c r="Y138" s="163">
        <f t="shared" si="35"/>
        <v>0</v>
      </c>
      <c r="Z138" s="182"/>
      <c r="AA138" s="182"/>
      <c r="AB138" s="182"/>
      <c r="AC138" s="182"/>
      <c r="AD138" s="235"/>
      <c r="AE138" s="163">
        <f t="shared" si="36"/>
        <v>0</v>
      </c>
      <c r="AF138" s="182"/>
      <c r="AG138" s="182"/>
      <c r="AH138" s="182"/>
      <c r="AI138" s="182"/>
      <c r="AJ138" s="134"/>
      <c r="AK138" s="38"/>
    </row>
    <row r="139" spans="1:37" s="39" customFormat="1" ht="38.25" customHeight="1" x14ac:dyDescent="0.25">
      <c r="A139" s="144">
        <v>24</v>
      </c>
      <c r="B139" s="130" t="s">
        <v>136</v>
      </c>
      <c r="C139" s="165">
        <f t="shared" si="29"/>
        <v>0</v>
      </c>
      <c r="D139" s="181"/>
      <c r="E139" s="181"/>
      <c r="F139" s="181"/>
      <c r="G139" s="181"/>
      <c r="H139" s="181"/>
      <c r="I139" s="163">
        <f t="shared" si="27"/>
        <v>0</v>
      </c>
      <c r="J139" s="182"/>
      <c r="K139" s="182"/>
      <c r="L139" s="182"/>
      <c r="M139" s="182"/>
      <c r="N139" s="163">
        <f t="shared" si="34"/>
        <v>0</v>
      </c>
      <c r="O139" s="182"/>
      <c r="P139" s="182"/>
      <c r="Q139" s="182"/>
      <c r="R139" s="182"/>
      <c r="S139" s="182"/>
      <c r="T139" s="163">
        <f t="shared" si="28"/>
        <v>3351.4100000000003</v>
      </c>
      <c r="U139" s="182">
        <f>96.81+45.3</f>
        <v>142.11000000000001</v>
      </c>
      <c r="V139" s="182">
        <v>51</v>
      </c>
      <c r="W139" s="182"/>
      <c r="X139" s="182">
        <f>1250+433+358.6+366+750.7</f>
        <v>3158.3</v>
      </c>
      <c r="Y139" s="163">
        <f t="shared" si="35"/>
        <v>0</v>
      </c>
      <c r="Z139" s="182"/>
      <c r="AA139" s="182"/>
      <c r="AB139" s="182"/>
      <c r="AC139" s="182"/>
      <c r="AD139" s="235"/>
      <c r="AE139" s="163">
        <f t="shared" si="36"/>
        <v>1111.9000000000001</v>
      </c>
      <c r="AF139" s="182">
        <v>483</v>
      </c>
      <c r="AG139" s="182">
        <v>102.5</v>
      </c>
      <c r="AH139" s="182"/>
      <c r="AI139" s="182">
        <f>351.4+25+150</f>
        <v>526.4</v>
      </c>
      <c r="AJ139" s="134"/>
      <c r="AK139" s="38"/>
    </row>
    <row r="140" spans="1:37" s="39" customFormat="1" ht="38.25" customHeight="1" x14ac:dyDescent="0.25">
      <c r="A140" s="144">
        <v>25</v>
      </c>
      <c r="B140" s="130" t="s">
        <v>137</v>
      </c>
      <c r="C140" s="165">
        <f t="shared" si="29"/>
        <v>1527</v>
      </c>
      <c r="D140" s="181"/>
      <c r="E140" s="181"/>
      <c r="F140" s="181"/>
      <c r="G140" s="196">
        <v>1527</v>
      </c>
      <c r="H140" s="181">
        <v>50.3</v>
      </c>
      <c r="I140" s="163">
        <f t="shared" si="27"/>
        <v>918</v>
      </c>
      <c r="J140" s="182">
        <v>689</v>
      </c>
      <c r="K140" s="182">
        <v>229</v>
      </c>
      <c r="L140" s="182"/>
      <c r="M140" s="182"/>
      <c r="N140" s="163">
        <f t="shared" si="34"/>
        <v>5238</v>
      </c>
      <c r="O140" s="182">
        <v>3711</v>
      </c>
      <c r="P140" s="182"/>
      <c r="Q140" s="182"/>
      <c r="R140" s="182">
        <v>1527</v>
      </c>
      <c r="S140" s="200">
        <v>58.7</v>
      </c>
      <c r="T140" s="163">
        <f t="shared" si="28"/>
        <v>946</v>
      </c>
      <c r="U140" s="182">
        <v>701</v>
      </c>
      <c r="V140" s="182">
        <v>245</v>
      </c>
      <c r="W140" s="182"/>
      <c r="X140" s="182"/>
      <c r="Y140" s="163">
        <f t="shared" si="35"/>
        <v>1227</v>
      </c>
      <c r="Z140" s="182"/>
      <c r="AA140" s="182"/>
      <c r="AB140" s="182"/>
      <c r="AC140" s="182">
        <v>1227</v>
      </c>
      <c r="AD140" s="247">
        <v>62.4</v>
      </c>
      <c r="AE140" s="163">
        <f t="shared" si="36"/>
        <v>1077</v>
      </c>
      <c r="AF140" s="182">
        <v>766</v>
      </c>
      <c r="AG140" s="182">
        <v>311</v>
      </c>
      <c r="AH140" s="182"/>
      <c r="AI140" s="182"/>
      <c r="AJ140" s="134"/>
      <c r="AK140" s="38"/>
    </row>
    <row r="141" spans="1:37" s="126" customFormat="1" ht="45.75" customHeight="1" x14ac:dyDescent="0.25">
      <c r="A141" s="144">
        <v>26</v>
      </c>
      <c r="B141" s="124" t="s">
        <v>234</v>
      </c>
      <c r="C141" s="201">
        <f t="shared" si="29"/>
        <v>101177.83099999999</v>
      </c>
      <c r="D141" s="202">
        <v>26011.563999999998</v>
      </c>
      <c r="E141" s="202">
        <v>18349.7</v>
      </c>
      <c r="F141" s="202">
        <v>14891.677</v>
      </c>
      <c r="G141" s="202">
        <v>41924.89</v>
      </c>
      <c r="H141" s="202">
        <v>14910.408747809524</v>
      </c>
      <c r="I141" s="203">
        <f t="shared" si="27"/>
        <v>66580.095506999991</v>
      </c>
      <c r="J141" s="202">
        <v>19377.394568</v>
      </c>
      <c r="K141" s="202">
        <v>16240.700939</v>
      </c>
      <c r="L141" s="202">
        <v>14461</v>
      </c>
      <c r="M141" s="202">
        <v>16501</v>
      </c>
      <c r="N141" s="203">
        <f t="shared" si="34"/>
        <v>115221.98599999999</v>
      </c>
      <c r="O141" s="202">
        <v>26353.538999999997</v>
      </c>
      <c r="P141" s="202">
        <v>18874.349999999999</v>
      </c>
      <c r="Q141" s="202">
        <v>14891.677</v>
      </c>
      <c r="R141" s="202">
        <v>55102.42</v>
      </c>
      <c r="S141" s="202">
        <v>14943.295873015873</v>
      </c>
      <c r="T141" s="203">
        <f t="shared" si="28"/>
        <v>68949.56</v>
      </c>
      <c r="U141" s="202">
        <v>19658.559999999998</v>
      </c>
      <c r="V141" s="202">
        <v>16458</v>
      </c>
      <c r="W141" s="202">
        <v>14461</v>
      </c>
      <c r="X141" s="202">
        <v>18372</v>
      </c>
      <c r="Y141" s="203">
        <f t="shared" si="35"/>
        <v>58498.926999999996</v>
      </c>
      <c r="Z141" s="202">
        <v>14461</v>
      </c>
      <c r="AA141" s="202">
        <v>14461</v>
      </c>
      <c r="AB141" s="202">
        <v>14891.677</v>
      </c>
      <c r="AC141" s="202">
        <v>14685.25</v>
      </c>
      <c r="AD141" s="248">
        <v>14467.947916666666</v>
      </c>
      <c r="AE141" s="203">
        <f t="shared" si="36"/>
        <v>59284</v>
      </c>
      <c r="AF141" s="202">
        <v>15128</v>
      </c>
      <c r="AG141" s="202">
        <v>14592</v>
      </c>
      <c r="AH141" s="202">
        <v>14461</v>
      </c>
      <c r="AI141" s="202">
        <v>15103</v>
      </c>
      <c r="AJ141" s="127"/>
      <c r="AK141" s="125"/>
    </row>
    <row r="142" spans="1:37" s="39" customFormat="1" ht="45.75" customHeight="1" x14ac:dyDescent="0.25">
      <c r="A142" s="144">
        <v>27</v>
      </c>
      <c r="B142" s="130" t="s">
        <v>138</v>
      </c>
      <c r="C142" s="165">
        <f t="shared" si="29"/>
        <v>2286</v>
      </c>
      <c r="D142" s="181"/>
      <c r="E142" s="181"/>
      <c r="F142" s="181"/>
      <c r="G142" s="196">
        <v>2286</v>
      </c>
      <c r="H142" s="181">
        <v>48.8</v>
      </c>
      <c r="I142" s="163">
        <f t="shared" si="27"/>
        <v>1556.56</v>
      </c>
      <c r="J142" s="204">
        <v>291.56</v>
      </c>
      <c r="K142" s="182">
        <v>189</v>
      </c>
      <c r="L142" s="182"/>
      <c r="M142" s="182">
        <v>1076</v>
      </c>
      <c r="N142" s="163">
        <f t="shared" si="34"/>
        <v>4179</v>
      </c>
      <c r="O142" s="182"/>
      <c r="P142" s="182"/>
      <c r="Q142" s="182"/>
      <c r="R142" s="182">
        <v>4179</v>
      </c>
      <c r="S142" s="204">
        <v>55.6</v>
      </c>
      <c r="T142" s="163">
        <f t="shared" si="28"/>
        <v>2887.88</v>
      </c>
      <c r="U142" s="204">
        <v>301.88</v>
      </c>
      <c r="V142" s="182">
        <v>189</v>
      </c>
      <c r="W142" s="182"/>
      <c r="X142" s="182">
        <v>2397</v>
      </c>
      <c r="Y142" s="163">
        <f t="shared" si="35"/>
        <v>9351</v>
      </c>
      <c r="Z142" s="182"/>
      <c r="AA142" s="182"/>
      <c r="AB142" s="182"/>
      <c r="AC142" s="182">
        <v>9351</v>
      </c>
      <c r="AD142" s="247">
        <v>58.8</v>
      </c>
      <c r="AE142" s="163">
        <f t="shared" si="36"/>
        <v>3462</v>
      </c>
      <c r="AF142" s="182">
        <v>512</v>
      </c>
      <c r="AG142" s="182">
        <v>183</v>
      </c>
      <c r="AH142" s="182"/>
      <c r="AI142" s="182">
        <v>2767</v>
      </c>
      <c r="AJ142" s="134"/>
      <c r="AK142" s="38"/>
    </row>
    <row r="143" spans="1:37" s="39" customFormat="1" ht="45.75" customHeight="1" x14ac:dyDescent="0.25">
      <c r="A143" s="144">
        <v>28</v>
      </c>
      <c r="B143" s="130" t="s">
        <v>139</v>
      </c>
      <c r="C143" s="165">
        <f t="shared" si="29"/>
        <v>0</v>
      </c>
      <c r="D143" s="181"/>
      <c r="E143" s="181"/>
      <c r="F143" s="181"/>
      <c r="G143" s="181"/>
      <c r="H143" s="181"/>
      <c r="I143" s="163">
        <f t="shared" ref="I143:I177" si="56">SUM(J143:M143)</f>
        <v>0</v>
      </c>
      <c r="J143" s="182"/>
      <c r="K143" s="182"/>
      <c r="L143" s="182"/>
      <c r="M143" s="182"/>
      <c r="N143" s="163">
        <f t="shared" si="34"/>
        <v>0</v>
      </c>
      <c r="O143" s="182"/>
      <c r="P143" s="182"/>
      <c r="Q143" s="182"/>
      <c r="R143" s="182"/>
      <c r="S143" s="182"/>
      <c r="T143" s="163">
        <f t="shared" ref="T143:T177" si="57">SUM(U143:X143)</f>
        <v>0</v>
      </c>
      <c r="U143" s="182"/>
      <c r="V143" s="182"/>
      <c r="W143" s="182"/>
      <c r="X143" s="182"/>
      <c r="Y143" s="163">
        <f t="shared" si="35"/>
        <v>0</v>
      </c>
      <c r="Z143" s="182"/>
      <c r="AA143" s="182"/>
      <c r="AB143" s="182"/>
      <c r="AC143" s="182"/>
      <c r="AD143" s="235"/>
      <c r="AE143" s="163">
        <f t="shared" si="36"/>
        <v>9300</v>
      </c>
      <c r="AF143" s="182"/>
      <c r="AG143" s="182"/>
      <c r="AH143" s="182"/>
      <c r="AI143" s="182">
        <v>9300</v>
      </c>
      <c r="AJ143" s="134"/>
      <c r="AK143" s="38"/>
    </row>
    <row r="144" spans="1:37" s="39" customFormat="1" ht="45.75" customHeight="1" x14ac:dyDescent="0.25">
      <c r="A144" s="144">
        <v>29</v>
      </c>
      <c r="B144" s="130" t="s">
        <v>226</v>
      </c>
      <c r="C144" s="165">
        <f t="shared" ref="C144:C177" si="58">SUM(D144:G144)</f>
        <v>58738.861000000004</v>
      </c>
      <c r="D144" s="181">
        <v>5751.57</v>
      </c>
      <c r="E144" s="181">
        <v>14928.69</v>
      </c>
      <c r="F144" s="181">
        <v>30893.166000000001</v>
      </c>
      <c r="G144" s="181">
        <v>7165.4350000000004</v>
      </c>
      <c r="H144" s="181">
        <v>589.86492691622095</v>
      </c>
      <c r="I144" s="163">
        <f t="shared" si="56"/>
        <v>251921.753</v>
      </c>
      <c r="J144" s="182">
        <v>13541.128000000001</v>
      </c>
      <c r="K144" s="182">
        <v>20734.879000000001</v>
      </c>
      <c r="L144" s="182">
        <v>184816.304</v>
      </c>
      <c r="M144" s="182">
        <v>32829.442000000003</v>
      </c>
      <c r="N144" s="163">
        <f t="shared" ref="N144:N177" si="59">SUM(O144:R144)</f>
        <v>263289.38169199997</v>
      </c>
      <c r="O144" s="182">
        <v>176627.90250900001</v>
      </c>
      <c r="P144" s="182">
        <v>17102.689999999999</v>
      </c>
      <c r="Q144" s="182">
        <v>42776.485285999996</v>
      </c>
      <c r="R144" s="182">
        <v>26782.303897000002</v>
      </c>
      <c r="S144" s="182">
        <v>571.4466666666666</v>
      </c>
      <c r="T144" s="163">
        <f t="shared" si="57"/>
        <v>408181.14200000005</v>
      </c>
      <c r="U144" s="182">
        <v>16938</v>
      </c>
      <c r="V144" s="182">
        <v>27951.612000000001</v>
      </c>
      <c r="W144" s="182">
        <v>316345.74900000001</v>
      </c>
      <c r="X144" s="182">
        <v>46945.781000000003</v>
      </c>
      <c r="Y144" s="163">
        <f t="shared" ref="Y144:Y177" si="60">SUM(Z144:AC144)</f>
        <v>242674.93</v>
      </c>
      <c r="Z144" s="182">
        <v>73934.600000000006</v>
      </c>
      <c r="AA144" s="182">
        <v>63280.563999999998</v>
      </c>
      <c r="AB144" s="182">
        <v>44143.165999999997</v>
      </c>
      <c r="AC144" s="182">
        <v>61316.6</v>
      </c>
      <c r="AD144" s="235">
        <v>678.40818548387097</v>
      </c>
      <c r="AE144" s="163">
        <f t="shared" ref="AE144:AE177" si="61">SUM(AF144:AI144)</f>
        <v>1038232.419</v>
      </c>
      <c r="AF144" s="182">
        <v>13208.716</v>
      </c>
      <c r="AG144" s="182">
        <v>42430.455000000002</v>
      </c>
      <c r="AH144" s="182">
        <v>882744.68500000006</v>
      </c>
      <c r="AI144" s="182">
        <v>99848.563000000009</v>
      </c>
      <c r="AJ144" s="134"/>
      <c r="AK144" s="38"/>
    </row>
    <row r="145" spans="1:40" s="39" customFormat="1" ht="45.75" customHeight="1" x14ac:dyDescent="0.25">
      <c r="A145" s="144">
        <v>30</v>
      </c>
      <c r="B145" s="130" t="s">
        <v>228</v>
      </c>
      <c r="C145" s="165">
        <f t="shared" si="58"/>
        <v>77819.5</v>
      </c>
      <c r="D145" s="181">
        <v>33403</v>
      </c>
      <c r="E145" s="181">
        <v>42173.5</v>
      </c>
      <c r="F145" s="181">
        <v>89</v>
      </c>
      <c r="G145" s="181">
        <v>2154</v>
      </c>
      <c r="H145" s="181">
        <v>45</v>
      </c>
      <c r="I145" s="163">
        <f t="shared" si="56"/>
        <v>8457</v>
      </c>
      <c r="J145" s="182">
        <v>4855</v>
      </c>
      <c r="K145" s="182">
        <v>2300</v>
      </c>
      <c r="L145" s="182">
        <v>61</v>
      </c>
      <c r="M145" s="182">
        <v>1241</v>
      </c>
      <c r="N145" s="163">
        <f t="shared" si="59"/>
        <v>60448.5</v>
      </c>
      <c r="O145" s="182">
        <v>34269</v>
      </c>
      <c r="P145" s="182">
        <v>23289.200000000001</v>
      </c>
      <c r="Q145" s="182">
        <v>159</v>
      </c>
      <c r="R145" s="182">
        <v>2731.3</v>
      </c>
      <c r="S145" s="182">
        <v>49</v>
      </c>
      <c r="T145" s="163">
        <f t="shared" si="57"/>
        <v>863</v>
      </c>
      <c r="U145" s="182">
        <v>550</v>
      </c>
      <c r="V145" s="182">
        <v>168</v>
      </c>
      <c r="W145" s="182">
        <v>0</v>
      </c>
      <c r="X145" s="182">
        <v>145</v>
      </c>
      <c r="Y145" s="163">
        <f t="shared" si="60"/>
        <v>121113.26000000001</v>
      </c>
      <c r="Z145" s="182">
        <v>86899</v>
      </c>
      <c r="AA145" s="182">
        <v>29893.599999999999</v>
      </c>
      <c r="AB145" s="182">
        <v>159</v>
      </c>
      <c r="AC145" s="182">
        <v>4161.66</v>
      </c>
      <c r="AD145" s="235">
        <v>61</v>
      </c>
      <c r="AE145" s="163">
        <f t="shared" si="61"/>
        <v>3629.79</v>
      </c>
      <c r="AF145" s="182">
        <v>1864</v>
      </c>
      <c r="AG145" s="182">
        <v>0</v>
      </c>
      <c r="AH145" s="182">
        <v>0</v>
      </c>
      <c r="AI145" s="182">
        <v>1765.79</v>
      </c>
      <c r="AJ145" s="134"/>
      <c r="AK145" s="38"/>
    </row>
    <row r="146" spans="1:40" s="141" customFormat="1" ht="33.75" customHeight="1" x14ac:dyDescent="0.2">
      <c r="A146" s="144">
        <v>31</v>
      </c>
      <c r="B146" s="139" t="s">
        <v>123</v>
      </c>
      <c r="C146" s="205">
        <f>D146+F146+G146</f>
        <v>3106</v>
      </c>
      <c r="D146" s="205">
        <v>2152</v>
      </c>
      <c r="E146" s="205"/>
      <c r="F146" s="205">
        <v>273</v>
      </c>
      <c r="G146" s="205">
        <v>681</v>
      </c>
      <c r="H146" s="205"/>
      <c r="I146" s="206">
        <f t="shared" ref="I146" si="62">SUM(J146:M146)</f>
        <v>1263</v>
      </c>
      <c r="J146" s="206">
        <v>830</v>
      </c>
      <c r="K146" s="206">
        <v>308</v>
      </c>
      <c r="L146" s="206"/>
      <c r="M146" s="206">
        <v>125</v>
      </c>
      <c r="N146" s="206">
        <f>O146+Q146+R146</f>
        <v>3121</v>
      </c>
      <c r="O146" s="206">
        <v>2152</v>
      </c>
      <c r="P146" s="206"/>
      <c r="Q146" s="206">
        <v>273</v>
      </c>
      <c r="R146" s="206">
        <v>696</v>
      </c>
      <c r="S146" s="206"/>
      <c r="T146" s="206">
        <f t="shared" ref="T146" si="63">SUM(U146:X146)</f>
        <v>1481</v>
      </c>
      <c r="U146" s="206">
        <v>1044</v>
      </c>
      <c r="V146" s="206">
        <v>437</v>
      </c>
      <c r="W146" s="206"/>
      <c r="X146" s="206"/>
      <c r="Y146" s="206">
        <f>Z146+AC146</f>
        <v>3986</v>
      </c>
      <c r="Z146" s="206">
        <v>3468</v>
      </c>
      <c r="AA146" s="206"/>
      <c r="AB146" s="206"/>
      <c r="AC146" s="206">
        <v>518</v>
      </c>
      <c r="AD146" s="249"/>
      <c r="AE146" s="206">
        <f t="shared" ref="AE146" si="64">SUM(AF146:AI146)</f>
        <v>1507</v>
      </c>
      <c r="AF146" s="206">
        <v>1083</v>
      </c>
      <c r="AG146" s="206">
        <v>424</v>
      </c>
      <c r="AH146" s="206"/>
      <c r="AI146" s="206"/>
      <c r="AJ146" s="143"/>
      <c r="AK146" s="140"/>
    </row>
    <row r="147" spans="1:40" s="39" customFormat="1" ht="45.75" customHeight="1" x14ac:dyDescent="0.25">
      <c r="A147" s="144">
        <v>32</v>
      </c>
      <c r="B147" s="130" t="s">
        <v>229</v>
      </c>
      <c r="C147" s="165">
        <f t="shared" si="58"/>
        <v>50783.540000000008</v>
      </c>
      <c r="D147" s="181">
        <v>18806.192999999999</v>
      </c>
      <c r="E147" s="181">
        <v>7763.8700000000008</v>
      </c>
      <c r="F147" s="181">
        <v>2906.732</v>
      </c>
      <c r="G147" s="181">
        <v>21306.745000000003</v>
      </c>
      <c r="H147" s="181">
        <v>855.92798193236706</v>
      </c>
      <c r="I147" s="163">
        <f t="shared" si="56"/>
        <v>42639.215992999998</v>
      </c>
      <c r="J147" s="182">
        <v>29350.0059</v>
      </c>
      <c r="K147" s="182">
        <v>7506.5100929999999</v>
      </c>
      <c r="L147" s="182">
        <v>1482.7</v>
      </c>
      <c r="M147" s="182">
        <v>4300</v>
      </c>
      <c r="N147" s="163">
        <f t="shared" si="59"/>
        <v>54895.224171999995</v>
      </c>
      <c r="O147" s="182">
        <v>27812.267015000001</v>
      </c>
      <c r="P147" s="182">
        <v>10018.33</v>
      </c>
      <c r="Q147" s="182">
        <v>2955.77</v>
      </c>
      <c r="R147" s="182">
        <v>14108.857156999999</v>
      </c>
      <c r="S147" s="182">
        <v>868.94577037054398</v>
      </c>
      <c r="T147" s="163">
        <f t="shared" si="57"/>
        <v>45324.989576</v>
      </c>
      <c r="U147" s="182">
        <v>29020.630335999998</v>
      </c>
      <c r="V147" s="182">
        <v>8693.9592400000001</v>
      </c>
      <c r="W147" s="182">
        <v>2936.3</v>
      </c>
      <c r="X147" s="182">
        <v>4674.1000000000004</v>
      </c>
      <c r="Y147" s="163">
        <f t="shared" si="60"/>
        <v>74743.78</v>
      </c>
      <c r="Z147" s="182">
        <v>38156.525000000001</v>
      </c>
      <c r="AA147" s="182">
        <v>17285.230000000003</v>
      </c>
      <c r="AB147" s="182">
        <v>4028.95</v>
      </c>
      <c r="AC147" s="182">
        <v>15273.075000000001</v>
      </c>
      <c r="AD147" s="235">
        <v>922.44542931544163</v>
      </c>
      <c r="AE147" s="163">
        <f t="shared" si="61"/>
        <v>68417.729000000007</v>
      </c>
      <c r="AF147" s="182">
        <v>33608.220999999998</v>
      </c>
      <c r="AG147" s="182">
        <v>10935.508</v>
      </c>
      <c r="AH147" s="182">
        <v>5487.8</v>
      </c>
      <c r="AI147" s="182">
        <v>18386.2</v>
      </c>
      <c r="AJ147" s="134"/>
      <c r="AK147" s="38"/>
    </row>
    <row r="148" spans="1:40" s="28" customFormat="1" ht="45.75" customHeight="1" x14ac:dyDescent="0.25">
      <c r="A148" s="144">
        <v>33</v>
      </c>
      <c r="B148" s="130" t="s">
        <v>165</v>
      </c>
      <c r="C148" s="165">
        <f t="shared" si="58"/>
        <v>0</v>
      </c>
      <c r="D148" s="181"/>
      <c r="E148" s="181"/>
      <c r="F148" s="181"/>
      <c r="G148" s="181"/>
      <c r="H148" s="181"/>
      <c r="I148" s="163">
        <f t="shared" si="56"/>
        <v>14405</v>
      </c>
      <c r="J148" s="182">
        <v>2157</v>
      </c>
      <c r="K148" s="182">
        <v>10683</v>
      </c>
      <c r="L148" s="182"/>
      <c r="M148" s="182">
        <v>1565</v>
      </c>
      <c r="N148" s="163">
        <f t="shared" si="59"/>
        <v>0</v>
      </c>
      <c r="O148" s="182"/>
      <c r="P148" s="182"/>
      <c r="Q148" s="182"/>
      <c r="R148" s="182"/>
      <c r="S148" s="182"/>
      <c r="T148" s="163">
        <f t="shared" si="57"/>
        <v>20881</v>
      </c>
      <c r="U148" s="182">
        <v>2518</v>
      </c>
      <c r="V148" s="182">
        <v>12819</v>
      </c>
      <c r="W148" s="182"/>
      <c r="X148" s="182">
        <v>5544</v>
      </c>
      <c r="Y148" s="163">
        <f t="shared" si="60"/>
        <v>0</v>
      </c>
      <c r="Z148" s="182"/>
      <c r="AA148" s="182"/>
      <c r="AB148" s="182"/>
      <c r="AC148" s="182"/>
      <c r="AD148" s="235"/>
      <c r="AE148" s="163">
        <f t="shared" si="61"/>
        <v>29085</v>
      </c>
      <c r="AF148" s="182">
        <v>3000</v>
      </c>
      <c r="AG148" s="182">
        <v>774</v>
      </c>
      <c r="AH148" s="182"/>
      <c r="AI148" s="182">
        <v>25311</v>
      </c>
      <c r="AJ148" s="134"/>
      <c r="AK148" s="38"/>
    </row>
    <row r="149" spans="1:40" s="16" customFormat="1" ht="24.75" customHeight="1" x14ac:dyDescent="0.25">
      <c r="A149" s="46" t="s">
        <v>81</v>
      </c>
      <c r="B149" s="47" t="s">
        <v>57</v>
      </c>
      <c r="C149" s="165">
        <f t="shared" si="58"/>
        <v>0</v>
      </c>
      <c r="D149" s="171"/>
      <c r="E149" s="171"/>
      <c r="F149" s="171"/>
      <c r="G149" s="171"/>
      <c r="H149" s="171"/>
      <c r="I149" s="163">
        <f t="shared" si="56"/>
        <v>52230</v>
      </c>
      <c r="J149" s="168">
        <f>+J150+J151</f>
        <v>0</v>
      </c>
      <c r="K149" s="168"/>
      <c r="L149" s="168"/>
      <c r="M149" s="168">
        <v>52230</v>
      </c>
      <c r="N149" s="163">
        <f t="shared" si="59"/>
        <v>0</v>
      </c>
      <c r="O149" s="168"/>
      <c r="P149" s="168"/>
      <c r="Q149" s="168"/>
      <c r="R149" s="168"/>
      <c r="S149" s="168"/>
      <c r="T149" s="163">
        <f t="shared" si="57"/>
        <v>105399</v>
      </c>
      <c r="U149" s="168">
        <f>SUM(U150:U151)</f>
        <v>29384</v>
      </c>
      <c r="V149" s="168">
        <f t="shared" ref="V149:X149" si="65">SUM(V150:V151)</f>
        <v>4548</v>
      </c>
      <c r="W149" s="168">
        <f t="shared" si="65"/>
        <v>0</v>
      </c>
      <c r="X149" s="168">
        <f t="shared" si="65"/>
        <v>71467</v>
      </c>
      <c r="Y149" s="163">
        <f t="shared" si="60"/>
        <v>0</v>
      </c>
      <c r="Z149" s="168"/>
      <c r="AA149" s="168"/>
      <c r="AB149" s="168"/>
      <c r="AC149" s="168"/>
      <c r="AD149" s="228"/>
      <c r="AE149" s="163">
        <f t="shared" si="61"/>
        <v>0</v>
      </c>
      <c r="AF149" s="168">
        <f>SUM(AF150:AF151)</f>
        <v>0</v>
      </c>
      <c r="AG149" s="168">
        <f t="shared" ref="AG149:AI149" si="66">SUM(AG150:AG151)</f>
        <v>0</v>
      </c>
      <c r="AH149" s="168">
        <f t="shared" si="66"/>
        <v>0</v>
      </c>
      <c r="AI149" s="168">
        <f t="shared" si="66"/>
        <v>0</v>
      </c>
      <c r="AJ149" s="56"/>
      <c r="AK149" s="25"/>
    </row>
    <row r="150" spans="1:40" s="28" customFormat="1" ht="30" customHeight="1" x14ac:dyDescent="0.25">
      <c r="A150" s="51">
        <v>1</v>
      </c>
      <c r="B150" s="130" t="s">
        <v>249</v>
      </c>
      <c r="C150" s="165">
        <f t="shared" si="58"/>
        <v>0</v>
      </c>
      <c r="D150" s="181"/>
      <c r="E150" s="181"/>
      <c r="F150" s="181"/>
      <c r="G150" s="181"/>
      <c r="H150" s="181"/>
      <c r="I150" s="163">
        <f t="shared" si="56"/>
        <v>0</v>
      </c>
      <c r="J150" s="182"/>
      <c r="K150" s="182"/>
      <c r="L150" s="182"/>
      <c r="M150" s="182"/>
      <c r="N150" s="163">
        <f t="shared" si="59"/>
        <v>0</v>
      </c>
      <c r="O150" s="182"/>
      <c r="P150" s="182"/>
      <c r="Q150" s="182"/>
      <c r="R150" s="182"/>
      <c r="S150" s="182"/>
      <c r="T150" s="163">
        <f t="shared" si="57"/>
        <v>102495</v>
      </c>
      <c r="U150" s="182">
        <v>29384</v>
      </c>
      <c r="V150" s="182">
        <v>4548</v>
      </c>
      <c r="W150" s="182"/>
      <c r="X150" s="182">
        <v>68563</v>
      </c>
      <c r="Y150" s="163">
        <f t="shared" si="60"/>
        <v>0</v>
      </c>
      <c r="Z150" s="182"/>
      <c r="AA150" s="182"/>
      <c r="AB150" s="182"/>
      <c r="AC150" s="182"/>
      <c r="AD150" s="235"/>
      <c r="AE150" s="163">
        <f t="shared" si="61"/>
        <v>0</v>
      </c>
      <c r="AF150" s="182"/>
      <c r="AG150" s="182"/>
      <c r="AH150" s="182"/>
      <c r="AI150" s="182"/>
      <c r="AJ150" s="134"/>
      <c r="AK150" s="38"/>
    </row>
    <row r="151" spans="1:40" s="28" customFormat="1" ht="38.25" customHeight="1" x14ac:dyDescent="0.25">
      <c r="A151" s="51">
        <v>2</v>
      </c>
      <c r="B151" s="130" t="s">
        <v>159</v>
      </c>
      <c r="C151" s="165">
        <f t="shared" si="58"/>
        <v>0</v>
      </c>
      <c r="D151" s="181"/>
      <c r="E151" s="181"/>
      <c r="F151" s="181"/>
      <c r="G151" s="181"/>
      <c r="H151" s="181"/>
      <c r="I151" s="163">
        <f t="shared" si="56"/>
        <v>0</v>
      </c>
      <c r="J151" s="182"/>
      <c r="K151" s="182"/>
      <c r="L151" s="182"/>
      <c r="M151" s="182"/>
      <c r="N151" s="163">
        <f t="shared" si="59"/>
        <v>0</v>
      </c>
      <c r="O151" s="182"/>
      <c r="P151" s="182"/>
      <c r="Q151" s="182"/>
      <c r="R151" s="182"/>
      <c r="S151" s="182"/>
      <c r="T151" s="163">
        <f t="shared" si="57"/>
        <v>2904</v>
      </c>
      <c r="U151" s="182"/>
      <c r="V151" s="182"/>
      <c r="W151" s="182"/>
      <c r="X151" s="182">
        <f>2411+493</f>
        <v>2904</v>
      </c>
      <c r="Y151" s="163">
        <f t="shared" si="60"/>
        <v>0</v>
      </c>
      <c r="Z151" s="182"/>
      <c r="AA151" s="182"/>
      <c r="AB151" s="182"/>
      <c r="AC151" s="182"/>
      <c r="AD151" s="235"/>
      <c r="AE151" s="163">
        <f t="shared" si="61"/>
        <v>0</v>
      </c>
      <c r="AF151" s="182"/>
      <c r="AG151" s="182"/>
      <c r="AH151" s="182"/>
      <c r="AI151" s="182"/>
      <c r="AJ151" s="134"/>
      <c r="AK151" s="38"/>
    </row>
    <row r="152" spans="1:40" s="260" customFormat="1" ht="19.899999999999999" customHeight="1" x14ac:dyDescent="0.25">
      <c r="A152" s="266" t="s">
        <v>91</v>
      </c>
      <c r="B152" s="268" t="s">
        <v>247</v>
      </c>
      <c r="C152" s="272">
        <v>7870</v>
      </c>
      <c r="D152" s="274">
        <v>957</v>
      </c>
      <c r="E152" s="276">
        <v>4620</v>
      </c>
      <c r="F152" s="274">
        <v>499</v>
      </c>
      <c r="G152" s="276">
        <v>1793</v>
      </c>
      <c r="H152" s="274">
        <v>76</v>
      </c>
      <c r="I152" s="271">
        <v>14610</v>
      </c>
      <c r="J152" s="275">
        <v>2390</v>
      </c>
      <c r="K152" s="275">
        <v>801</v>
      </c>
      <c r="L152" s="269" t="s">
        <v>248</v>
      </c>
      <c r="M152" s="275">
        <v>11204</v>
      </c>
      <c r="N152" s="271">
        <v>7978</v>
      </c>
      <c r="O152" s="277">
        <v>957</v>
      </c>
      <c r="P152" s="275">
        <v>4621</v>
      </c>
      <c r="Q152" s="275">
        <v>499</v>
      </c>
      <c r="R152" s="275">
        <v>1900</v>
      </c>
      <c r="S152" s="275">
        <v>80</v>
      </c>
      <c r="T152" s="271">
        <v>19449</v>
      </c>
      <c r="U152" s="275">
        <v>2586</v>
      </c>
      <c r="V152" s="275">
        <v>1068</v>
      </c>
      <c r="W152" s="273">
        <v>0</v>
      </c>
      <c r="X152" s="275">
        <v>15777</v>
      </c>
      <c r="Y152" s="271">
        <v>61293</v>
      </c>
      <c r="Z152" s="275">
        <v>4712</v>
      </c>
      <c r="AA152" s="275">
        <v>52876</v>
      </c>
      <c r="AB152" s="275">
        <v>1162</v>
      </c>
      <c r="AC152" s="275">
        <v>2543</v>
      </c>
      <c r="AD152" s="275">
        <v>91</v>
      </c>
      <c r="AE152" s="271">
        <v>22074</v>
      </c>
      <c r="AF152" s="275">
        <v>2931</v>
      </c>
      <c r="AG152" s="275">
        <v>556</v>
      </c>
      <c r="AH152" s="269" t="s">
        <v>248</v>
      </c>
      <c r="AI152" s="275">
        <v>18259</v>
      </c>
      <c r="AJ152" s="269"/>
      <c r="AK152" s="263"/>
      <c r="AL152" s="258"/>
      <c r="AM152" s="258"/>
      <c r="AN152" s="259"/>
    </row>
    <row r="153" spans="1:40" s="16" customFormat="1" ht="30" customHeight="1" x14ac:dyDescent="0.25">
      <c r="A153" s="46" t="s">
        <v>93</v>
      </c>
      <c r="B153" s="47" t="s">
        <v>92</v>
      </c>
      <c r="C153" s="165">
        <f t="shared" si="58"/>
        <v>0</v>
      </c>
      <c r="D153" s="207">
        <f t="shared" ref="D153:AJ153" si="67">SUM(D154:D154)</f>
        <v>0</v>
      </c>
      <c r="E153" s="207">
        <f t="shared" si="67"/>
        <v>0</v>
      </c>
      <c r="F153" s="207">
        <f t="shared" si="67"/>
        <v>0</v>
      </c>
      <c r="G153" s="207">
        <f t="shared" si="67"/>
        <v>0</v>
      </c>
      <c r="H153" s="207">
        <f t="shared" si="67"/>
        <v>0</v>
      </c>
      <c r="I153" s="207">
        <f t="shared" si="67"/>
        <v>764</v>
      </c>
      <c r="J153" s="207">
        <f t="shared" si="67"/>
        <v>243</v>
      </c>
      <c r="K153" s="207">
        <f t="shared" si="67"/>
        <v>521</v>
      </c>
      <c r="L153" s="207">
        <f t="shared" si="67"/>
        <v>0</v>
      </c>
      <c r="M153" s="207">
        <f t="shared" si="67"/>
        <v>0</v>
      </c>
      <c r="N153" s="207">
        <f t="shared" si="67"/>
        <v>0</v>
      </c>
      <c r="O153" s="207">
        <f t="shared" si="67"/>
        <v>0</v>
      </c>
      <c r="P153" s="207">
        <f t="shared" si="67"/>
        <v>0</v>
      </c>
      <c r="Q153" s="207">
        <f t="shared" si="67"/>
        <v>0</v>
      </c>
      <c r="R153" s="207">
        <f t="shared" si="67"/>
        <v>0</v>
      </c>
      <c r="S153" s="207">
        <f t="shared" si="67"/>
        <v>0</v>
      </c>
      <c r="T153" s="207">
        <f t="shared" si="67"/>
        <v>764</v>
      </c>
      <c r="U153" s="207">
        <f t="shared" si="67"/>
        <v>275</v>
      </c>
      <c r="V153" s="207">
        <f t="shared" si="67"/>
        <v>147</v>
      </c>
      <c r="W153" s="207">
        <f t="shared" si="67"/>
        <v>0</v>
      </c>
      <c r="X153" s="207">
        <f t="shared" si="67"/>
        <v>342</v>
      </c>
      <c r="Y153" s="207">
        <f t="shared" si="67"/>
        <v>1845530.5399999998</v>
      </c>
      <c r="Z153" s="207">
        <f t="shared" si="67"/>
        <v>76757.67</v>
      </c>
      <c r="AA153" s="207">
        <f t="shared" si="67"/>
        <v>1765940.72</v>
      </c>
      <c r="AB153" s="207">
        <f t="shared" si="67"/>
        <v>0</v>
      </c>
      <c r="AC153" s="207">
        <f t="shared" si="67"/>
        <v>2832.15</v>
      </c>
      <c r="AD153" s="250">
        <f t="shared" si="67"/>
        <v>6.14</v>
      </c>
      <c r="AE153" s="207">
        <f t="shared" si="67"/>
        <v>3697</v>
      </c>
      <c r="AF153" s="207">
        <f t="shared" si="67"/>
        <v>1327</v>
      </c>
      <c r="AG153" s="207">
        <f t="shared" si="67"/>
        <v>190</v>
      </c>
      <c r="AH153" s="207">
        <f t="shared" si="67"/>
        <v>0</v>
      </c>
      <c r="AI153" s="207">
        <f t="shared" si="67"/>
        <v>2180</v>
      </c>
      <c r="AJ153" s="142">
        <f t="shared" si="67"/>
        <v>0</v>
      </c>
      <c r="AK153" s="25"/>
    </row>
    <row r="154" spans="1:40" ht="34.9" customHeight="1" x14ac:dyDescent="0.25">
      <c r="A154" s="51">
        <v>1</v>
      </c>
      <c r="B154" s="130" t="s">
        <v>148</v>
      </c>
      <c r="C154" s="165">
        <f t="shared" si="58"/>
        <v>0</v>
      </c>
      <c r="D154" s="165"/>
      <c r="E154" s="165"/>
      <c r="F154" s="165"/>
      <c r="G154" s="165"/>
      <c r="H154" s="165"/>
      <c r="I154" s="163">
        <f t="shared" si="56"/>
        <v>764</v>
      </c>
      <c r="J154" s="163">
        <v>243</v>
      </c>
      <c r="K154" s="163">
        <v>521</v>
      </c>
      <c r="L154" s="163"/>
      <c r="M154" s="163">
        <v>0</v>
      </c>
      <c r="N154" s="163">
        <f t="shared" si="59"/>
        <v>0</v>
      </c>
      <c r="O154" s="163"/>
      <c r="P154" s="163"/>
      <c r="Q154" s="163"/>
      <c r="R154" s="163"/>
      <c r="S154" s="163"/>
      <c r="T154" s="163">
        <f t="shared" si="57"/>
        <v>764</v>
      </c>
      <c r="U154" s="163">
        <v>275</v>
      </c>
      <c r="V154" s="163">
        <v>147</v>
      </c>
      <c r="W154" s="163"/>
      <c r="X154" s="163">
        <v>342</v>
      </c>
      <c r="Y154" s="163">
        <f t="shared" si="60"/>
        <v>1845530.5399999998</v>
      </c>
      <c r="Z154" s="163">
        <v>76757.67</v>
      </c>
      <c r="AA154" s="163">
        <v>1765940.72</v>
      </c>
      <c r="AB154" s="163"/>
      <c r="AC154" s="163">
        <f>677.61+2154.54</f>
        <v>2832.15</v>
      </c>
      <c r="AD154" s="251">
        <v>6.14</v>
      </c>
      <c r="AE154" s="163">
        <f t="shared" si="61"/>
        <v>3697</v>
      </c>
      <c r="AF154" s="163">
        <v>1327</v>
      </c>
      <c r="AG154" s="163">
        <v>190</v>
      </c>
      <c r="AH154" s="163"/>
      <c r="AI154" s="163">
        <v>2180</v>
      </c>
      <c r="AJ154" s="48"/>
      <c r="AK154" s="26"/>
    </row>
    <row r="155" spans="1:40" s="16" customFormat="1" ht="34.9" customHeight="1" x14ac:dyDescent="0.25">
      <c r="A155" s="46" t="s">
        <v>250</v>
      </c>
      <c r="B155" s="47" t="s">
        <v>63</v>
      </c>
      <c r="C155" s="165">
        <f>C156+C172</f>
        <v>34663.902999999998</v>
      </c>
      <c r="D155" s="165">
        <f t="shared" ref="D155:AJ155" si="68">D156+D172</f>
        <v>17349.902999999998</v>
      </c>
      <c r="E155" s="165">
        <f t="shared" si="68"/>
        <v>12295</v>
      </c>
      <c r="F155" s="165">
        <f t="shared" si="68"/>
        <v>0</v>
      </c>
      <c r="G155" s="165">
        <f t="shared" si="68"/>
        <v>755</v>
      </c>
      <c r="H155" s="165">
        <f t="shared" si="68"/>
        <v>293.44200000000001</v>
      </c>
      <c r="I155" s="165">
        <f t="shared" si="68"/>
        <v>9842</v>
      </c>
      <c r="J155" s="165">
        <f t="shared" si="68"/>
        <v>4388</v>
      </c>
      <c r="K155" s="165">
        <f t="shared" si="68"/>
        <v>1538</v>
      </c>
      <c r="L155" s="165">
        <f t="shared" si="68"/>
        <v>0</v>
      </c>
      <c r="M155" s="165">
        <f t="shared" si="68"/>
        <v>3916</v>
      </c>
      <c r="N155" s="165">
        <f t="shared" si="68"/>
        <v>34691.902999999998</v>
      </c>
      <c r="O155" s="165">
        <f t="shared" si="68"/>
        <v>17349.902999999998</v>
      </c>
      <c r="P155" s="165">
        <f t="shared" si="68"/>
        <v>12295</v>
      </c>
      <c r="Q155" s="165">
        <f t="shared" si="68"/>
        <v>0</v>
      </c>
      <c r="R155" s="165">
        <f t="shared" si="68"/>
        <v>783</v>
      </c>
      <c r="S155" s="165">
        <f t="shared" si="68"/>
        <v>303.81</v>
      </c>
      <c r="T155" s="165">
        <f t="shared" si="68"/>
        <v>9519</v>
      </c>
      <c r="U155" s="165">
        <f t="shared" si="68"/>
        <v>4695</v>
      </c>
      <c r="V155" s="165">
        <f t="shared" si="68"/>
        <v>1791</v>
      </c>
      <c r="W155" s="165">
        <f t="shared" si="68"/>
        <v>0</v>
      </c>
      <c r="X155" s="165">
        <f t="shared" si="68"/>
        <v>3033</v>
      </c>
      <c r="Y155" s="165">
        <f t="shared" si="68"/>
        <v>34636.902999999998</v>
      </c>
      <c r="Z155" s="165">
        <f t="shared" si="68"/>
        <v>17359.902999999998</v>
      </c>
      <c r="AA155" s="165">
        <f t="shared" si="68"/>
        <v>12295</v>
      </c>
      <c r="AB155" s="165">
        <f t="shared" si="68"/>
        <v>0</v>
      </c>
      <c r="AC155" s="165">
        <f t="shared" si="68"/>
        <v>4982</v>
      </c>
      <c r="AD155" s="252">
        <f t="shared" si="68"/>
        <v>322.589</v>
      </c>
      <c r="AE155" s="165">
        <f t="shared" si="68"/>
        <v>9894</v>
      </c>
      <c r="AF155" s="165">
        <f t="shared" si="68"/>
        <v>4251</v>
      </c>
      <c r="AG155" s="165">
        <f t="shared" si="68"/>
        <v>1656</v>
      </c>
      <c r="AH155" s="165">
        <f t="shared" si="68"/>
        <v>0</v>
      </c>
      <c r="AI155" s="165">
        <f t="shared" si="68"/>
        <v>3903</v>
      </c>
      <c r="AJ155" s="165">
        <f t="shared" si="68"/>
        <v>0</v>
      </c>
      <c r="AK155" s="15"/>
    </row>
    <row r="156" spans="1:40" s="16" customFormat="1" ht="30" customHeight="1" x14ac:dyDescent="0.25">
      <c r="A156" s="53">
        <v>1</v>
      </c>
      <c r="B156" s="54" t="s">
        <v>55</v>
      </c>
      <c r="C156" s="165">
        <f>SUM(C157:C171)</f>
        <v>34663.902999999998</v>
      </c>
      <c r="D156" s="165">
        <f t="shared" ref="D156:AJ156" si="69">SUM(D157:D171)</f>
        <v>17349.902999999998</v>
      </c>
      <c r="E156" s="165">
        <f t="shared" si="69"/>
        <v>12295</v>
      </c>
      <c r="F156" s="165">
        <f t="shared" si="69"/>
        <v>0</v>
      </c>
      <c r="G156" s="165">
        <f t="shared" si="69"/>
        <v>755</v>
      </c>
      <c r="H156" s="165">
        <f t="shared" si="69"/>
        <v>293.44200000000001</v>
      </c>
      <c r="I156" s="165">
        <f t="shared" si="69"/>
        <v>9842</v>
      </c>
      <c r="J156" s="165">
        <f t="shared" si="69"/>
        <v>4388</v>
      </c>
      <c r="K156" s="165">
        <f t="shared" si="69"/>
        <v>1538</v>
      </c>
      <c r="L156" s="165">
        <f t="shared" si="69"/>
        <v>0</v>
      </c>
      <c r="M156" s="165">
        <f t="shared" si="69"/>
        <v>3916</v>
      </c>
      <c r="N156" s="165">
        <f t="shared" si="69"/>
        <v>34691.902999999998</v>
      </c>
      <c r="O156" s="165">
        <f t="shared" si="69"/>
        <v>17349.902999999998</v>
      </c>
      <c r="P156" s="165">
        <f t="shared" si="69"/>
        <v>12295</v>
      </c>
      <c r="Q156" s="165">
        <f t="shared" si="69"/>
        <v>0</v>
      </c>
      <c r="R156" s="165">
        <f t="shared" si="69"/>
        <v>783</v>
      </c>
      <c r="S156" s="165">
        <f t="shared" si="69"/>
        <v>303.81</v>
      </c>
      <c r="T156" s="165">
        <f t="shared" si="69"/>
        <v>9519</v>
      </c>
      <c r="U156" s="165">
        <f t="shared" si="69"/>
        <v>4695</v>
      </c>
      <c r="V156" s="165">
        <f t="shared" si="69"/>
        <v>1791</v>
      </c>
      <c r="W156" s="165">
        <f t="shared" si="69"/>
        <v>0</v>
      </c>
      <c r="X156" s="165">
        <f t="shared" si="69"/>
        <v>3033</v>
      </c>
      <c r="Y156" s="165">
        <f t="shared" si="69"/>
        <v>34636.902999999998</v>
      </c>
      <c r="Z156" s="165">
        <f t="shared" si="69"/>
        <v>17359.902999999998</v>
      </c>
      <c r="AA156" s="165">
        <f t="shared" si="69"/>
        <v>12295</v>
      </c>
      <c r="AB156" s="165">
        <f t="shared" si="69"/>
        <v>0</v>
      </c>
      <c r="AC156" s="165">
        <f t="shared" si="69"/>
        <v>4982</v>
      </c>
      <c r="AD156" s="252">
        <f t="shared" si="69"/>
        <v>322.589</v>
      </c>
      <c r="AE156" s="165">
        <f t="shared" si="69"/>
        <v>9894</v>
      </c>
      <c r="AF156" s="165">
        <f t="shared" si="69"/>
        <v>4251</v>
      </c>
      <c r="AG156" s="165">
        <f t="shared" si="69"/>
        <v>1656</v>
      </c>
      <c r="AH156" s="165">
        <f t="shared" si="69"/>
        <v>0</v>
      </c>
      <c r="AI156" s="165">
        <f t="shared" si="69"/>
        <v>3903</v>
      </c>
      <c r="AJ156" s="165">
        <f t="shared" si="69"/>
        <v>0</v>
      </c>
      <c r="AK156" s="15"/>
    </row>
    <row r="157" spans="1:40" s="257" customFormat="1" ht="30" customHeight="1" x14ac:dyDescent="0.25">
      <c r="A157" s="267" t="s">
        <v>48</v>
      </c>
      <c r="B157" s="281" t="s">
        <v>245</v>
      </c>
      <c r="C157" s="282">
        <v>31026</v>
      </c>
      <c r="D157" s="282">
        <v>16556</v>
      </c>
      <c r="E157" s="282">
        <v>10206</v>
      </c>
      <c r="F157" s="283"/>
      <c r="G157" s="283"/>
      <c r="H157" s="283">
        <v>48</v>
      </c>
      <c r="I157" s="283">
        <v>266</v>
      </c>
      <c r="J157" s="283">
        <v>119</v>
      </c>
      <c r="K157" s="283">
        <v>47</v>
      </c>
      <c r="L157" s="283"/>
      <c r="M157" s="283">
        <v>100</v>
      </c>
      <c r="N157" s="282">
        <v>31026</v>
      </c>
      <c r="O157" s="282">
        <v>16556</v>
      </c>
      <c r="P157" s="282">
        <v>10206</v>
      </c>
      <c r="Q157" s="283"/>
      <c r="R157" s="283"/>
      <c r="S157" s="283">
        <v>48</v>
      </c>
      <c r="T157" s="283">
        <v>315</v>
      </c>
      <c r="U157" s="283">
        <v>166</v>
      </c>
      <c r="V157" s="283">
        <v>49</v>
      </c>
      <c r="W157" s="283"/>
      <c r="X157" s="283">
        <v>100</v>
      </c>
      <c r="Y157" s="282">
        <v>31026</v>
      </c>
      <c r="Z157" s="282">
        <v>16556</v>
      </c>
      <c r="AA157" s="282">
        <v>10206</v>
      </c>
      <c r="AB157" s="283"/>
      <c r="AC157" s="282">
        <v>4264</v>
      </c>
      <c r="AD157" s="284">
        <v>48</v>
      </c>
      <c r="AE157" s="283">
        <v>84</v>
      </c>
      <c r="AF157" s="283" t="s">
        <v>246</v>
      </c>
      <c r="AG157" s="283"/>
      <c r="AH157" s="283"/>
      <c r="AI157" s="283"/>
      <c r="AJ157" s="285"/>
      <c r="AK157" s="261"/>
    </row>
    <row r="158" spans="1:40" ht="30" customHeight="1" x14ac:dyDescent="0.25">
      <c r="A158" s="60" t="s">
        <v>65</v>
      </c>
      <c r="B158" s="130" t="s">
        <v>149</v>
      </c>
      <c r="C158" s="165">
        <f t="shared" si="58"/>
        <v>0</v>
      </c>
      <c r="D158" s="166"/>
      <c r="E158" s="166"/>
      <c r="F158" s="166"/>
      <c r="G158" s="166"/>
      <c r="H158" s="166"/>
      <c r="I158" s="163">
        <f t="shared" si="56"/>
        <v>1171</v>
      </c>
      <c r="J158" s="163">
        <v>787</v>
      </c>
      <c r="K158" s="163">
        <v>274</v>
      </c>
      <c r="L158" s="163"/>
      <c r="M158" s="163">
        <v>110</v>
      </c>
      <c r="N158" s="163">
        <f t="shared" si="59"/>
        <v>0</v>
      </c>
      <c r="O158" s="163"/>
      <c r="P158" s="163"/>
      <c r="Q158" s="163"/>
      <c r="R158" s="163"/>
      <c r="S158" s="163"/>
      <c r="T158" s="163">
        <f t="shared" si="57"/>
        <v>1228</v>
      </c>
      <c r="U158" s="163">
        <v>859</v>
      </c>
      <c r="V158" s="163">
        <v>306</v>
      </c>
      <c r="W158" s="163"/>
      <c r="X158" s="163">
        <v>63</v>
      </c>
      <c r="Y158" s="163">
        <f t="shared" si="60"/>
        <v>0</v>
      </c>
      <c r="Z158" s="163"/>
      <c r="AA158" s="163"/>
      <c r="AB158" s="163"/>
      <c r="AC158" s="163"/>
      <c r="AD158" s="225"/>
      <c r="AE158" s="163">
        <f t="shared" si="61"/>
        <v>1242</v>
      </c>
      <c r="AF158" s="163">
        <v>807</v>
      </c>
      <c r="AG158" s="163">
        <v>340</v>
      </c>
      <c r="AH158" s="163"/>
      <c r="AI158" s="163">
        <v>95</v>
      </c>
      <c r="AJ158" s="48"/>
      <c r="AK158" s="26"/>
    </row>
    <row r="159" spans="1:40" ht="30" customHeight="1" x14ac:dyDescent="0.25">
      <c r="A159" s="60" t="s">
        <v>66</v>
      </c>
      <c r="B159" s="130" t="s">
        <v>150</v>
      </c>
      <c r="C159" s="165">
        <f t="shared" si="58"/>
        <v>2940.9030000000002</v>
      </c>
      <c r="D159" s="163">
        <v>553.90300000000002</v>
      </c>
      <c r="E159" s="163">
        <v>2089</v>
      </c>
      <c r="F159" s="166"/>
      <c r="G159" s="166">
        <v>298</v>
      </c>
      <c r="H159" s="166">
        <v>4.4420000000000002</v>
      </c>
      <c r="I159" s="163">
        <f t="shared" si="56"/>
        <v>1692</v>
      </c>
      <c r="J159" s="163">
        <v>486</v>
      </c>
      <c r="K159" s="163">
        <v>206</v>
      </c>
      <c r="L159" s="163"/>
      <c r="M159" s="163">
        <v>1000</v>
      </c>
      <c r="N159" s="163">
        <f t="shared" si="59"/>
        <v>2981.9030000000002</v>
      </c>
      <c r="O159" s="163">
        <v>553.90300000000002</v>
      </c>
      <c r="P159" s="163">
        <v>2089</v>
      </c>
      <c r="Q159" s="163"/>
      <c r="R159" s="163">
        <v>339</v>
      </c>
      <c r="S159" s="208">
        <v>4.8099999999999996</v>
      </c>
      <c r="T159" s="163">
        <f t="shared" si="57"/>
        <v>1840</v>
      </c>
      <c r="U159" s="163">
        <v>524</v>
      </c>
      <c r="V159" s="163">
        <v>245</v>
      </c>
      <c r="W159" s="163"/>
      <c r="X159" s="163">
        <v>1071</v>
      </c>
      <c r="Y159" s="163">
        <f t="shared" si="60"/>
        <v>2849.9030000000002</v>
      </c>
      <c r="Z159" s="163">
        <v>553.90300000000002</v>
      </c>
      <c r="AA159" s="163">
        <v>2089</v>
      </c>
      <c r="AB159" s="163"/>
      <c r="AC159" s="163">
        <v>207</v>
      </c>
      <c r="AD159" s="253">
        <v>5.5890000000000004</v>
      </c>
      <c r="AE159" s="163">
        <f t="shared" si="61"/>
        <v>1510</v>
      </c>
      <c r="AF159" s="163">
        <v>446</v>
      </c>
      <c r="AG159" s="163">
        <v>204</v>
      </c>
      <c r="AH159" s="163"/>
      <c r="AI159" s="163">
        <v>860</v>
      </c>
      <c r="AJ159" s="48"/>
      <c r="AK159" s="26"/>
    </row>
    <row r="160" spans="1:40" ht="30" customHeight="1" x14ac:dyDescent="0.25">
      <c r="A160" s="60" t="s">
        <v>67</v>
      </c>
      <c r="B160" s="130" t="s">
        <v>242</v>
      </c>
      <c r="C160" s="165">
        <f t="shared" si="58"/>
        <v>0</v>
      </c>
      <c r="D160" s="166"/>
      <c r="E160" s="166"/>
      <c r="F160" s="166"/>
      <c r="G160" s="166"/>
      <c r="H160" s="166"/>
      <c r="I160" s="163">
        <f t="shared" si="56"/>
        <v>945</v>
      </c>
      <c r="J160" s="163">
        <v>317</v>
      </c>
      <c r="K160" s="163">
        <v>118</v>
      </c>
      <c r="L160" s="163"/>
      <c r="M160" s="163">
        <v>510</v>
      </c>
      <c r="N160" s="163">
        <f t="shared" si="59"/>
        <v>0</v>
      </c>
      <c r="O160" s="163"/>
      <c r="P160" s="163"/>
      <c r="Q160" s="163"/>
      <c r="R160" s="163"/>
      <c r="S160" s="163"/>
      <c r="T160" s="163">
        <f t="shared" si="57"/>
        <v>953</v>
      </c>
      <c r="U160" s="163">
        <v>249</v>
      </c>
      <c r="V160" s="163">
        <v>92</v>
      </c>
      <c r="W160" s="163"/>
      <c r="X160" s="163">
        <v>612</v>
      </c>
      <c r="Y160" s="163">
        <f t="shared" si="60"/>
        <v>0</v>
      </c>
      <c r="Z160" s="163"/>
      <c r="AA160" s="163"/>
      <c r="AB160" s="163"/>
      <c r="AC160" s="163"/>
      <c r="AD160" s="225"/>
      <c r="AE160" s="163">
        <f t="shared" si="61"/>
        <v>1090</v>
      </c>
      <c r="AF160" s="163">
        <v>378</v>
      </c>
      <c r="AG160" s="163">
        <v>102</v>
      </c>
      <c r="AH160" s="163"/>
      <c r="AI160" s="163">
        <v>610</v>
      </c>
      <c r="AJ160" s="48"/>
      <c r="AK160" s="26"/>
    </row>
    <row r="161" spans="1:38" ht="30" customHeight="1" x14ac:dyDescent="0.25">
      <c r="A161" s="60" t="s">
        <v>69</v>
      </c>
      <c r="B161" s="130" t="s">
        <v>151</v>
      </c>
      <c r="C161" s="165">
        <f t="shared" si="58"/>
        <v>220</v>
      </c>
      <c r="D161" s="166"/>
      <c r="E161" s="166"/>
      <c r="F161" s="166"/>
      <c r="G161" s="166">
        <v>220</v>
      </c>
      <c r="H161" s="166">
        <v>75</v>
      </c>
      <c r="I161" s="163">
        <f t="shared" si="56"/>
        <v>1127</v>
      </c>
      <c r="J161" s="163">
        <v>547</v>
      </c>
      <c r="K161" s="163">
        <v>180</v>
      </c>
      <c r="L161" s="163"/>
      <c r="M161" s="163">
        <v>400</v>
      </c>
      <c r="N161" s="163">
        <f t="shared" si="59"/>
        <v>217</v>
      </c>
      <c r="O161" s="163"/>
      <c r="P161" s="163"/>
      <c r="Q161" s="163"/>
      <c r="R161" s="163">
        <v>217</v>
      </c>
      <c r="S161" s="163">
        <v>75</v>
      </c>
      <c r="T161" s="163">
        <f t="shared" si="57"/>
        <v>885</v>
      </c>
      <c r="U161" s="163">
        <v>446</v>
      </c>
      <c r="V161" s="163">
        <v>214</v>
      </c>
      <c r="W161" s="163"/>
      <c r="X161" s="163">
        <v>225</v>
      </c>
      <c r="Y161" s="163">
        <f t="shared" si="60"/>
        <v>259</v>
      </c>
      <c r="Z161" s="163"/>
      <c r="AA161" s="163"/>
      <c r="AB161" s="163"/>
      <c r="AC161" s="163">
        <v>259</v>
      </c>
      <c r="AD161" s="225">
        <v>75</v>
      </c>
      <c r="AE161" s="163">
        <f t="shared" si="61"/>
        <v>946</v>
      </c>
      <c r="AF161" s="163">
        <v>263</v>
      </c>
      <c r="AG161" s="163">
        <v>68</v>
      </c>
      <c r="AH161" s="163"/>
      <c r="AI161" s="163">
        <v>615</v>
      </c>
      <c r="AJ161" s="48"/>
      <c r="AK161" s="26"/>
    </row>
    <row r="162" spans="1:38" ht="30" customHeight="1" x14ac:dyDescent="0.25">
      <c r="A162" s="60" t="s">
        <v>70</v>
      </c>
      <c r="B162" s="130" t="s">
        <v>75</v>
      </c>
      <c r="C162" s="165">
        <f t="shared" si="58"/>
        <v>0</v>
      </c>
      <c r="D162" s="166"/>
      <c r="E162" s="166"/>
      <c r="F162" s="166"/>
      <c r="G162" s="166"/>
      <c r="H162" s="166"/>
      <c r="I162" s="163">
        <f t="shared" si="56"/>
        <v>1617</v>
      </c>
      <c r="J162" s="163">
        <v>870</v>
      </c>
      <c r="K162" s="163">
        <v>322</v>
      </c>
      <c r="L162" s="163"/>
      <c r="M162" s="163">
        <v>425</v>
      </c>
      <c r="N162" s="163">
        <f t="shared" si="59"/>
        <v>0</v>
      </c>
      <c r="O162" s="163"/>
      <c r="P162" s="163"/>
      <c r="Q162" s="163"/>
      <c r="R162" s="163"/>
      <c r="S162" s="163"/>
      <c r="T162" s="163">
        <f t="shared" si="57"/>
        <v>1581</v>
      </c>
      <c r="U162" s="163">
        <v>1022</v>
      </c>
      <c r="V162" s="163">
        <v>397</v>
      </c>
      <c r="W162" s="163"/>
      <c r="X162" s="163">
        <v>162</v>
      </c>
      <c r="Y162" s="163">
        <f t="shared" si="60"/>
        <v>0</v>
      </c>
      <c r="Z162" s="163"/>
      <c r="AA162" s="163"/>
      <c r="AB162" s="163"/>
      <c r="AC162" s="163"/>
      <c r="AD162" s="225"/>
      <c r="AE162" s="163">
        <f t="shared" si="61"/>
        <v>2056</v>
      </c>
      <c r="AF162" s="163">
        <v>1138</v>
      </c>
      <c r="AG162" s="163">
        <v>398</v>
      </c>
      <c r="AH162" s="163"/>
      <c r="AI162" s="163">
        <v>520</v>
      </c>
      <c r="AJ162" s="48"/>
      <c r="AK162" s="26"/>
    </row>
    <row r="163" spans="1:38" ht="30" customHeight="1" x14ac:dyDescent="0.25">
      <c r="A163" s="60" t="s">
        <v>71</v>
      </c>
      <c r="B163" s="130" t="s">
        <v>68</v>
      </c>
      <c r="C163" s="165">
        <f t="shared" si="58"/>
        <v>0</v>
      </c>
      <c r="D163" s="166"/>
      <c r="E163" s="166"/>
      <c r="F163" s="166"/>
      <c r="G163" s="166"/>
      <c r="H163" s="166"/>
      <c r="I163" s="163">
        <f t="shared" si="56"/>
        <v>402</v>
      </c>
      <c r="J163" s="163">
        <v>240</v>
      </c>
      <c r="K163" s="163">
        <v>62</v>
      </c>
      <c r="L163" s="163"/>
      <c r="M163" s="163">
        <v>100</v>
      </c>
      <c r="N163" s="163">
        <f t="shared" si="59"/>
        <v>0</v>
      </c>
      <c r="O163" s="163"/>
      <c r="P163" s="163"/>
      <c r="Q163" s="163"/>
      <c r="R163" s="163"/>
      <c r="S163" s="163"/>
      <c r="T163" s="163">
        <f t="shared" si="57"/>
        <v>428</v>
      </c>
      <c r="U163" s="163">
        <v>267</v>
      </c>
      <c r="V163" s="163">
        <v>61</v>
      </c>
      <c r="W163" s="163"/>
      <c r="X163" s="163">
        <v>100</v>
      </c>
      <c r="Y163" s="163">
        <f t="shared" si="60"/>
        <v>0</v>
      </c>
      <c r="Z163" s="163"/>
      <c r="AA163" s="163"/>
      <c r="AB163" s="163"/>
      <c r="AC163" s="163"/>
      <c r="AD163" s="225"/>
      <c r="AE163" s="163">
        <f t="shared" si="61"/>
        <v>435</v>
      </c>
      <c r="AF163" s="163">
        <v>153</v>
      </c>
      <c r="AG163" s="163">
        <v>68</v>
      </c>
      <c r="AH163" s="163"/>
      <c r="AI163" s="163">
        <v>214</v>
      </c>
      <c r="AJ163" s="48"/>
      <c r="AK163" s="26"/>
    </row>
    <row r="164" spans="1:38" ht="30" customHeight="1" x14ac:dyDescent="0.25">
      <c r="A164" s="60" t="s">
        <v>58</v>
      </c>
      <c r="B164" s="130" t="s">
        <v>152</v>
      </c>
      <c r="C164" s="165">
        <f t="shared" si="58"/>
        <v>250</v>
      </c>
      <c r="D164" s="165">
        <v>240</v>
      </c>
      <c r="E164" s="165">
        <f t="shared" ref="E164:AH164" si="70">SUM(E165:E167)</f>
        <v>0</v>
      </c>
      <c r="F164" s="165">
        <f t="shared" si="70"/>
        <v>0</v>
      </c>
      <c r="G164" s="165">
        <v>10</v>
      </c>
      <c r="H164" s="165">
        <v>58</v>
      </c>
      <c r="I164" s="163">
        <f t="shared" si="56"/>
        <v>387</v>
      </c>
      <c r="J164" s="163">
        <v>190</v>
      </c>
      <c r="K164" s="163">
        <v>47</v>
      </c>
      <c r="L164" s="163">
        <v>0</v>
      </c>
      <c r="M164" s="163">
        <v>150</v>
      </c>
      <c r="N164" s="163">
        <f t="shared" si="59"/>
        <v>240</v>
      </c>
      <c r="O164" s="163">
        <v>240</v>
      </c>
      <c r="P164" s="163">
        <f t="shared" si="70"/>
        <v>0</v>
      </c>
      <c r="Q164" s="163">
        <f t="shared" si="70"/>
        <v>0</v>
      </c>
      <c r="R164" s="163">
        <f t="shared" si="70"/>
        <v>0</v>
      </c>
      <c r="S164" s="163">
        <v>58</v>
      </c>
      <c r="T164" s="163">
        <f t="shared" si="57"/>
        <v>434</v>
      </c>
      <c r="U164" s="163">
        <v>223</v>
      </c>
      <c r="V164" s="163">
        <v>61</v>
      </c>
      <c r="W164" s="163"/>
      <c r="X164" s="163">
        <v>150</v>
      </c>
      <c r="Y164" s="163">
        <f t="shared" si="60"/>
        <v>275</v>
      </c>
      <c r="Z164" s="163">
        <v>250</v>
      </c>
      <c r="AA164" s="163">
        <f t="shared" si="70"/>
        <v>0</v>
      </c>
      <c r="AB164" s="163">
        <f t="shared" si="70"/>
        <v>0</v>
      </c>
      <c r="AC164" s="163">
        <v>25</v>
      </c>
      <c r="AD164" s="225">
        <v>58</v>
      </c>
      <c r="AE164" s="163">
        <f t="shared" si="61"/>
        <v>498</v>
      </c>
      <c r="AF164" s="163">
        <v>166</v>
      </c>
      <c r="AG164" s="163">
        <v>68</v>
      </c>
      <c r="AH164" s="163">
        <f t="shared" si="70"/>
        <v>0</v>
      </c>
      <c r="AI164" s="163">
        <v>264</v>
      </c>
      <c r="AJ164" s="48"/>
      <c r="AK164" s="26"/>
    </row>
    <row r="165" spans="1:38" s="28" customFormat="1" ht="40.15" customHeight="1" x14ac:dyDescent="0.25">
      <c r="A165" s="60" t="s">
        <v>72</v>
      </c>
      <c r="B165" s="130" t="s">
        <v>153</v>
      </c>
      <c r="C165" s="165">
        <f t="shared" si="58"/>
        <v>0</v>
      </c>
      <c r="D165" s="181">
        <v>0</v>
      </c>
      <c r="E165" s="181">
        <v>0</v>
      </c>
      <c r="F165" s="181">
        <v>0</v>
      </c>
      <c r="G165" s="181">
        <v>0</v>
      </c>
      <c r="H165" s="181">
        <v>4</v>
      </c>
      <c r="I165" s="163">
        <f t="shared" si="56"/>
        <v>537</v>
      </c>
      <c r="J165" s="182">
        <v>140</v>
      </c>
      <c r="K165" s="182">
        <v>47</v>
      </c>
      <c r="L165" s="182"/>
      <c r="M165" s="182">
        <v>350</v>
      </c>
      <c r="N165" s="163">
        <f t="shared" si="59"/>
        <v>0</v>
      </c>
      <c r="O165" s="182">
        <v>0</v>
      </c>
      <c r="P165" s="182">
        <v>0</v>
      </c>
      <c r="Q165" s="182">
        <v>0</v>
      </c>
      <c r="R165" s="182">
        <v>0</v>
      </c>
      <c r="S165" s="182">
        <v>5</v>
      </c>
      <c r="T165" s="163">
        <f t="shared" si="57"/>
        <v>550</v>
      </c>
      <c r="U165" s="182">
        <v>174</v>
      </c>
      <c r="V165" s="182">
        <v>61</v>
      </c>
      <c r="W165" s="182"/>
      <c r="X165" s="182">
        <v>315</v>
      </c>
      <c r="Y165" s="163">
        <f t="shared" si="60"/>
        <v>0</v>
      </c>
      <c r="Z165" s="182">
        <v>0</v>
      </c>
      <c r="AA165" s="182">
        <v>0</v>
      </c>
      <c r="AB165" s="182">
        <v>0</v>
      </c>
      <c r="AC165" s="182">
        <v>0</v>
      </c>
      <c r="AD165" s="235">
        <v>6</v>
      </c>
      <c r="AE165" s="163">
        <f t="shared" si="61"/>
        <v>586</v>
      </c>
      <c r="AF165" s="182">
        <v>168</v>
      </c>
      <c r="AG165" s="182">
        <v>68</v>
      </c>
      <c r="AH165" s="182"/>
      <c r="AI165" s="182">
        <v>350</v>
      </c>
      <c r="AJ165" s="134"/>
      <c r="AK165" s="27"/>
    </row>
    <row r="166" spans="1:38" s="28" customFormat="1" ht="40.15" customHeight="1" x14ac:dyDescent="0.25">
      <c r="A166" s="60" t="s">
        <v>73</v>
      </c>
      <c r="B166" s="130" t="s">
        <v>154</v>
      </c>
      <c r="C166" s="165">
        <f t="shared" si="58"/>
        <v>0</v>
      </c>
      <c r="D166" s="181"/>
      <c r="E166" s="181"/>
      <c r="F166" s="181"/>
      <c r="G166" s="181"/>
      <c r="H166" s="181">
        <v>46</v>
      </c>
      <c r="I166" s="163">
        <f t="shared" si="56"/>
        <v>285</v>
      </c>
      <c r="J166" s="182">
        <v>138</v>
      </c>
      <c r="K166" s="182">
        <v>47</v>
      </c>
      <c r="L166" s="182"/>
      <c r="M166" s="182">
        <v>100</v>
      </c>
      <c r="N166" s="163">
        <f t="shared" si="59"/>
        <v>0</v>
      </c>
      <c r="O166" s="182"/>
      <c r="P166" s="182"/>
      <c r="Q166" s="182"/>
      <c r="R166" s="182"/>
      <c r="S166" s="182">
        <v>55</v>
      </c>
      <c r="T166" s="163">
        <f t="shared" si="57"/>
        <v>361</v>
      </c>
      <c r="U166" s="182">
        <v>165</v>
      </c>
      <c r="V166" s="182">
        <v>61</v>
      </c>
      <c r="W166" s="182"/>
      <c r="X166" s="182">
        <v>135</v>
      </c>
      <c r="Y166" s="163">
        <f t="shared" si="60"/>
        <v>0</v>
      </c>
      <c r="Z166" s="182"/>
      <c r="AA166" s="182"/>
      <c r="AB166" s="182"/>
      <c r="AC166" s="182"/>
      <c r="AD166" s="235">
        <v>72</v>
      </c>
      <c r="AE166" s="163">
        <f t="shared" si="61"/>
        <v>432</v>
      </c>
      <c r="AF166" s="182">
        <v>214</v>
      </c>
      <c r="AG166" s="182">
        <v>68</v>
      </c>
      <c r="AH166" s="182"/>
      <c r="AI166" s="182">
        <v>150</v>
      </c>
      <c r="AJ166" s="134"/>
      <c r="AK166" s="27"/>
    </row>
    <row r="167" spans="1:38" s="28" customFormat="1" ht="40.15" customHeight="1" x14ac:dyDescent="0.25">
      <c r="A167" s="60" t="s">
        <v>160</v>
      </c>
      <c r="B167" s="130" t="s">
        <v>155</v>
      </c>
      <c r="C167" s="165">
        <f t="shared" si="58"/>
        <v>0</v>
      </c>
      <c r="D167" s="181"/>
      <c r="E167" s="181"/>
      <c r="F167" s="181"/>
      <c r="G167" s="181"/>
      <c r="H167" s="181"/>
      <c r="I167" s="163">
        <f t="shared" si="56"/>
        <v>183</v>
      </c>
      <c r="J167" s="182">
        <v>136</v>
      </c>
      <c r="K167" s="182">
        <v>47</v>
      </c>
      <c r="L167" s="182"/>
      <c r="M167" s="182"/>
      <c r="N167" s="163">
        <f t="shared" si="59"/>
        <v>0</v>
      </c>
      <c r="O167" s="182"/>
      <c r="P167" s="182"/>
      <c r="Q167" s="182"/>
      <c r="R167" s="182"/>
      <c r="S167" s="182"/>
      <c r="T167" s="163">
        <f t="shared" si="57"/>
        <v>211</v>
      </c>
      <c r="U167" s="182">
        <v>150</v>
      </c>
      <c r="V167" s="182">
        <v>61</v>
      </c>
      <c r="W167" s="182"/>
      <c r="X167" s="182"/>
      <c r="Y167" s="163">
        <f t="shared" si="60"/>
        <v>0</v>
      </c>
      <c r="Z167" s="182"/>
      <c r="AA167" s="182"/>
      <c r="AB167" s="182"/>
      <c r="AC167" s="182"/>
      <c r="AD167" s="235"/>
      <c r="AE167" s="163">
        <f t="shared" si="61"/>
        <v>429</v>
      </c>
      <c r="AF167" s="182">
        <v>136</v>
      </c>
      <c r="AG167" s="182">
        <v>68</v>
      </c>
      <c r="AH167" s="182"/>
      <c r="AI167" s="182">
        <v>225</v>
      </c>
      <c r="AJ167" s="134"/>
      <c r="AK167" s="27"/>
    </row>
    <row r="168" spans="1:38" ht="40.15" customHeight="1" x14ac:dyDescent="0.25">
      <c r="A168" s="60" t="s">
        <v>161</v>
      </c>
      <c r="B168" s="130" t="s">
        <v>156</v>
      </c>
      <c r="C168" s="165">
        <f t="shared" si="58"/>
        <v>0</v>
      </c>
      <c r="D168" s="166"/>
      <c r="E168" s="166"/>
      <c r="F168" s="166"/>
      <c r="G168" s="166"/>
      <c r="H168" s="166"/>
      <c r="I168" s="163">
        <f t="shared" si="56"/>
        <v>243</v>
      </c>
      <c r="J168" s="163">
        <v>136</v>
      </c>
      <c r="K168" s="163">
        <v>47</v>
      </c>
      <c r="L168" s="163"/>
      <c r="M168" s="163">
        <v>60</v>
      </c>
      <c r="N168" s="163">
        <f t="shared" si="59"/>
        <v>0</v>
      </c>
      <c r="O168" s="163"/>
      <c r="P168" s="163"/>
      <c r="Q168" s="163"/>
      <c r="R168" s="163"/>
      <c r="S168" s="163"/>
      <c r="T168" s="163">
        <f t="shared" si="57"/>
        <v>308</v>
      </c>
      <c r="U168" s="163">
        <v>147</v>
      </c>
      <c r="V168" s="163">
        <v>61</v>
      </c>
      <c r="W168" s="163"/>
      <c r="X168" s="163">
        <v>100</v>
      </c>
      <c r="Y168" s="163">
        <f t="shared" si="60"/>
        <v>0</v>
      </c>
      <c r="Z168" s="163"/>
      <c r="AA168" s="163"/>
      <c r="AB168" s="163"/>
      <c r="AC168" s="163"/>
      <c r="AD168" s="225"/>
      <c r="AE168" s="163">
        <f t="shared" si="61"/>
        <v>197</v>
      </c>
      <c r="AF168" s="163">
        <v>129</v>
      </c>
      <c r="AG168" s="163">
        <v>68</v>
      </c>
      <c r="AH168" s="163"/>
      <c r="AI168" s="163"/>
      <c r="AJ168" s="48"/>
      <c r="AK168" s="26"/>
      <c r="AL168" s="41"/>
    </row>
    <row r="169" spans="1:38" ht="25.5" customHeight="1" x14ac:dyDescent="0.25">
      <c r="A169" s="60" t="s">
        <v>162</v>
      </c>
      <c r="B169" s="130" t="s">
        <v>157</v>
      </c>
      <c r="C169" s="165">
        <f t="shared" si="58"/>
        <v>227</v>
      </c>
      <c r="D169" s="165">
        <f t="shared" ref="D169:AI169" si="71">SUM(D170:D170)</f>
        <v>0</v>
      </c>
      <c r="E169" s="165">
        <f t="shared" si="71"/>
        <v>0</v>
      </c>
      <c r="F169" s="165">
        <f t="shared" si="71"/>
        <v>0</v>
      </c>
      <c r="G169" s="165">
        <v>227</v>
      </c>
      <c r="H169" s="165">
        <v>58</v>
      </c>
      <c r="I169" s="163">
        <f t="shared" si="56"/>
        <v>213</v>
      </c>
      <c r="J169" s="163">
        <v>146</v>
      </c>
      <c r="K169" s="163">
        <v>47</v>
      </c>
      <c r="L169" s="163">
        <f t="shared" si="71"/>
        <v>0</v>
      </c>
      <c r="M169" s="163">
        <v>20</v>
      </c>
      <c r="N169" s="163">
        <f t="shared" si="59"/>
        <v>227</v>
      </c>
      <c r="O169" s="165">
        <f t="shared" si="71"/>
        <v>0</v>
      </c>
      <c r="P169" s="165">
        <f t="shared" si="71"/>
        <v>0</v>
      </c>
      <c r="Q169" s="165">
        <f t="shared" si="71"/>
        <v>0</v>
      </c>
      <c r="R169" s="165">
        <v>227</v>
      </c>
      <c r="S169" s="163">
        <v>58</v>
      </c>
      <c r="T169" s="163">
        <f t="shared" si="57"/>
        <v>220</v>
      </c>
      <c r="U169" s="163">
        <v>159</v>
      </c>
      <c r="V169" s="163">
        <v>61</v>
      </c>
      <c r="W169" s="163"/>
      <c r="X169" s="163"/>
      <c r="Y169" s="163">
        <f t="shared" si="60"/>
        <v>227</v>
      </c>
      <c r="Z169" s="165">
        <f t="shared" si="71"/>
        <v>0</v>
      </c>
      <c r="AA169" s="165">
        <f t="shared" si="71"/>
        <v>0</v>
      </c>
      <c r="AB169" s="165">
        <f t="shared" si="71"/>
        <v>0</v>
      </c>
      <c r="AC169" s="165">
        <v>227</v>
      </c>
      <c r="AD169" s="225">
        <v>58</v>
      </c>
      <c r="AE169" s="163">
        <f t="shared" si="61"/>
        <v>207</v>
      </c>
      <c r="AF169" s="163">
        <v>139</v>
      </c>
      <c r="AG169" s="163">
        <v>68</v>
      </c>
      <c r="AH169" s="163">
        <f t="shared" si="71"/>
        <v>0</v>
      </c>
      <c r="AI169" s="163">
        <f t="shared" si="71"/>
        <v>0</v>
      </c>
      <c r="AJ169" s="48"/>
      <c r="AK169" s="26"/>
      <c r="AL169" s="41"/>
    </row>
    <row r="170" spans="1:38" s="28" customFormat="1" ht="35.25" customHeight="1" x14ac:dyDescent="0.25">
      <c r="A170" s="60" t="s">
        <v>163</v>
      </c>
      <c r="B170" s="130" t="s">
        <v>158</v>
      </c>
      <c r="C170" s="165">
        <f t="shared" si="58"/>
        <v>0</v>
      </c>
      <c r="D170" s="181"/>
      <c r="E170" s="181"/>
      <c r="F170" s="181"/>
      <c r="G170" s="181"/>
      <c r="H170" s="181"/>
      <c r="I170" s="163">
        <f t="shared" si="56"/>
        <v>274</v>
      </c>
      <c r="J170" s="182">
        <v>136</v>
      </c>
      <c r="K170" s="182">
        <v>47</v>
      </c>
      <c r="L170" s="182"/>
      <c r="M170" s="182">
        <v>91</v>
      </c>
      <c r="N170" s="163">
        <f t="shared" si="59"/>
        <v>0</v>
      </c>
      <c r="O170" s="182"/>
      <c r="P170" s="182"/>
      <c r="Q170" s="182"/>
      <c r="R170" s="182"/>
      <c r="S170" s="182"/>
      <c r="T170" s="163">
        <f t="shared" si="57"/>
        <v>205</v>
      </c>
      <c r="U170" s="182">
        <v>144</v>
      </c>
      <c r="V170" s="182">
        <v>61</v>
      </c>
      <c r="W170" s="182"/>
      <c r="X170" s="182"/>
      <c r="Y170" s="163">
        <f t="shared" si="60"/>
        <v>0</v>
      </c>
      <c r="Z170" s="182"/>
      <c r="AA170" s="182"/>
      <c r="AB170" s="182"/>
      <c r="AC170" s="182"/>
      <c r="AD170" s="235"/>
      <c r="AE170" s="163">
        <f t="shared" si="61"/>
        <v>182</v>
      </c>
      <c r="AF170" s="182">
        <v>114</v>
      </c>
      <c r="AG170" s="182">
        <v>68</v>
      </c>
      <c r="AH170" s="182"/>
      <c r="AI170" s="182"/>
      <c r="AJ170" s="134"/>
      <c r="AK170" s="27"/>
    </row>
    <row r="171" spans="1:38" s="28" customFormat="1" ht="19.899999999999999" customHeight="1" x14ac:dyDescent="0.25">
      <c r="A171" s="60" t="s">
        <v>164</v>
      </c>
      <c r="B171" s="50" t="s">
        <v>74</v>
      </c>
      <c r="C171" s="165">
        <f t="shared" si="58"/>
        <v>0</v>
      </c>
      <c r="D171" s="58">
        <f t="shared" ref="D171:H171" si="72">SUM(D172:D177)</f>
        <v>0</v>
      </c>
      <c r="E171" s="58">
        <f t="shared" si="72"/>
        <v>0</v>
      </c>
      <c r="F171" s="58">
        <f t="shared" si="72"/>
        <v>0</v>
      </c>
      <c r="G171" s="58">
        <f t="shared" si="72"/>
        <v>0</v>
      </c>
      <c r="H171" s="58">
        <f t="shared" si="72"/>
        <v>0</v>
      </c>
      <c r="I171" s="163">
        <f t="shared" si="56"/>
        <v>500</v>
      </c>
      <c r="J171" s="168"/>
      <c r="K171" s="168"/>
      <c r="L171" s="168"/>
      <c r="M171" s="168">
        <v>500</v>
      </c>
      <c r="N171" s="163">
        <f t="shared" si="59"/>
        <v>0</v>
      </c>
      <c r="O171" s="168"/>
      <c r="P171" s="168"/>
      <c r="Q171" s="168"/>
      <c r="R171" s="168"/>
      <c r="S171" s="168"/>
      <c r="T171" s="163">
        <f t="shared" si="57"/>
        <v>0</v>
      </c>
      <c r="U171" s="168"/>
      <c r="V171" s="168"/>
      <c r="W171" s="168"/>
      <c r="X171" s="168"/>
      <c r="Y171" s="163">
        <f t="shared" si="60"/>
        <v>0</v>
      </c>
      <c r="Z171" s="168"/>
      <c r="AA171" s="168"/>
      <c r="AB171" s="168"/>
      <c r="AC171" s="168"/>
      <c r="AD171" s="228"/>
      <c r="AE171" s="163">
        <f t="shared" si="61"/>
        <v>0</v>
      </c>
      <c r="AF171" s="168"/>
      <c r="AG171" s="168"/>
      <c r="AH171" s="168"/>
      <c r="AI171" s="168"/>
      <c r="AJ171" s="56"/>
      <c r="AK171" s="27"/>
    </row>
    <row r="172" spans="1:38" ht="19.899999999999999" customHeight="1" x14ac:dyDescent="0.25">
      <c r="A172" s="53">
        <v>2</v>
      </c>
      <c r="B172" s="54" t="s">
        <v>56</v>
      </c>
      <c r="C172" s="165">
        <f t="shared" si="58"/>
        <v>0</v>
      </c>
      <c r="D172" s="166"/>
      <c r="E172" s="166"/>
      <c r="F172" s="166"/>
      <c r="G172" s="166"/>
      <c r="H172" s="166"/>
      <c r="I172" s="163">
        <f t="shared" si="56"/>
        <v>0</v>
      </c>
      <c r="J172" s="163"/>
      <c r="K172" s="163"/>
      <c r="L172" s="163"/>
      <c r="M172" s="163"/>
      <c r="N172" s="163">
        <f t="shared" si="59"/>
        <v>0</v>
      </c>
      <c r="O172" s="163"/>
      <c r="P172" s="163"/>
      <c r="Q172" s="163"/>
      <c r="R172" s="163"/>
      <c r="S172" s="163"/>
      <c r="T172" s="163">
        <f t="shared" si="57"/>
        <v>0</v>
      </c>
      <c r="U172" s="163"/>
      <c r="V172" s="163"/>
      <c r="W172" s="163"/>
      <c r="X172" s="163"/>
      <c r="Y172" s="163">
        <f t="shared" si="60"/>
        <v>0</v>
      </c>
      <c r="Z172" s="163"/>
      <c r="AA172" s="163"/>
      <c r="AB172" s="163"/>
      <c r="AC172" s="163"/>
      <c r="AD172" s="225"/>
      <c r="AE172" s="163">
        <f t="shared" si="61"/>
        <v>0</v>
      </c>
      <c r="AF172" s="163"/>
      <c r="AG172" s="163"/>
      <c r="AH172" s="163"/>
      <c r="AI172" s="163"/>
      <c r="AJ172" s="48"/>
      <c r="AK172" s="42"/>
    </row>
    <row r="173" spans="1:38" ht="30" customHeight="1" x14ac:dyDescent="0.25">
      <c r="A173" s="60" t="s">
        <v>51</v>
      </c>
      <c r="B173" s="50" t="s">
        <v>75</v>
      </c>
      <c r="C173" s="165">
        <f t="shared" si="58"/>
        <v>0</v>
      </c>
      <c r="D173" s="166"/>
      <c r="E173" s="166"/>
      <c r="F173" s="166"/>
      <c r="G173" s="166"/>
      <c r="H173" s="166"/>
      <c r="I173" s="163">
        <f t="shared" si="56"/>
        <v>0</v>
      </c>
      <c r="J173" s="163"/>
      <c r="K173" s="163"/>
      <c r="L173" s="163"/>
      <c r="M173" s="163"/>
      <c r="N173" s="163">
        <f t="shared" si="59"/>
        <v>0</v>
      </c>
      <c r="O173" s="163"/>
      <c r="P173" s="163"/>
      <c r="Q173" s="163"/>
      <c r="R173" s="163"/>
      <c r="S173" s="163"/>
      <c r="T173" s="163">
        <f t="shared" si="57"/>
        <v>0</v>
      </c>
      <c r="U173" s="163"/>
      <c r="V173" s="163"/>
      <c r="W173" s="163"/>
      <c r="X173" s="163"/>
      <c r="Y173" s="163">
        <f t="shared" si="60"/>
        <v>0</v>
      </c>
      <c r="Z173" s="163"/>
      <c r="AA173" s="163"/>
      <c r="AB173" s="163"/>
      <c r="AC173" s="163"/>
      <c r="AD173" s="225"/>
      <c r="AE173" s="163">
        <f t="shared" si="61"/>
        <v>0</v>
      </c>
      <c r="AF173" s="163"/>
      <c r="AG173" s="163"/>
      <c r="AH173" s="163"/>
      <c r="AI173" s="163"/>
      <c r="AJ173" s="48"/>
      <c r="AK173" s="26"/>
    </row>
    <row r="174" spans="1:38" ht="30" customHeight="1" x14ac:dyDescent="0.25">
      <c r="A174" s="60">
        <v>2.2000000000000002</v>
      </c>
      <c r="B174" s="50" t="s">
        <v>76</v>
      </c>
      <c r="C174" s="165">
        <f t="shared" si="58"/>
        <v>0</v>
      </c>
      <c r="D174" s="166"/>
      <c r="E174" s="166"/>
      <c r="F174" s="166"/>
      <c r="G174" s="166"/>
      <c r="H174" s="166"/>
      <c r="I174" s="163">
        <f t="shared" si="56"/>
        <v>0</v>
      </c>
      <c r="J174" s="163"/>
      <c r="K174" s="163"/>
      <c r="L174" s="163"/>
      <c r="M174" s="163"/>
      <c r="N174" s="163">
        <f t="shared" si="59"/>
        <v>0</v>
      </c>
      <c r="O174" s="163"/>
      <c r="P174" s="163"/>
      <c r="Q174" s="163"/>
      <c r="R174" s="163"/>
      <c r="S174" s="163"/>
      <c r="T174" s="163">
        <f t="shared" si="57"/>
        <v>0</v>
      </c>
      <c r="U174" s="163"/>
      <c r="V174" s="163"/>
      <c r="W174" s="163"/>
      <c r="X174" s="163"/>
      <c r="Y174" s="163">
        <f t="shared" si="60"/>
        <v>0</v>
      </c>
      <c r="Z174" s="163"/>
      <c r="AA174" s="163"/>
      <c r="AB174" s="163"/>
      <c r="AC174" s="163"/>
      <c r="AD174" s="225"/>
      <c r="AE174" s="163">
        <f t="shared" si="61"/>
        <v>0</v>
      </c>
      <c r="AF174" s="163"/>
      <c r="AG174" s="163"/>
      <c r="AH174" s="163"/>
      <c r="AI174" s="163"/>
      <c r="AJ174" s="48"/>
      <c r="AK174" s="26"/>
    </row>
    <row r="175" spans="1:38" ht="30" customHeight="1" x14ac:dyDescent="0.25">
      <c r="A175" s="60">
        <v>2.2999999999999998</v>
      </c>
      <c r="B175" s="50" t="s">
        <v>74</v>
      </c>
      <c r="C175" s="165">
        <f t="shared" si="58"/>
        <v>0</v>
      </c>
      <c r="D175" s="166"/>
      <c r="E175" s="166"/>
      <c r="F175" s="166"/>
      <c r="G175" s="166"/>
      <c r="H175" s="166"/>
      <c r="I175" s="163">
        <f t="shared" si="56"/>
        <v>0</v>
      </c>
      <c r="J175" s="163"/>
      <c r="K175" s="163"/>
      <c r="L175" s="163"/>
      <c r="M175" s="163"/>
      <c r="N175" s="163">
        <f t="shared" si="59"/>
        <v>0</v>
      </c>
      <c r="O175" s="163"/>
      <c r="P175" s="163"/>
      <c r="Q175" s="163"/>
      <c r="R175" s="163"/>
      <c r="S175" s="163"/>
      <c r="T175" s="163">
        <f t="shared" si="57"/>
        <v>0</v>
      </c>
      <c r="U175" s="163"/>
      <c r="V175" s="163"/>
      <c r="W175" s="163"/>
      <c r="X175" s="163"/>
      <c r="Y175" s="163">
        <f t="shared" si="60"/>
        <v>0</v>
      </c>
      <c r="Z175" s="163"/>
      <c r="AA175" s="163"/>
      <c r="AB175" s="163"/>
      <c r="AC175" s="163"/>
      <c r="AD175" s="225"/>
      <c r="AE175" s="163">
        <f t="shared" si="61"/>
        <v>0</v>
      </c>
      <c r="AF175" s="163"/>
      <c r="AG175" s="163"/>
      <c r="AH175" s="163"/>
      <c r="AI175" s="163"/>
      <c r="AJ175" s="48"/>
      <c r="AK175" s="26"/>
    </row>
    <row r="176" spans="1:38" ht="30" customHeight="1" x14ac:dyDescent="0.25">
      <c r="A176" s="60" t="s">
        <v>59</v>
      </c>
      <c r="B176" s="50" t="s">
        <v>60</v>
      </c>
      <c r="C176" s="165">
        <f t="shared" si="58"/>
        <v>0</v>
      </c>
      <c r="D176" s="166"/>
      <c r="E176" s="166"/>
      <c r="F176" s="166"/>
      <c r="G176" s="166"/>
      <c r="H176" s="166"/>
      <c r="I176" s="163">
        <f t="shared" si="56"/>
        <v>0</v>
      </c>
      <c r="J176" s="163"/>
      <c r="K176" s="163"/>
      <c r="L176" s="163"/>
      <c r="M176" s="163"/>
      <c r="N176" s="163">
        <f t="shared" si="59"/>
        <v>0</v>
      </c>
      <c r="O176" s="163"/>
      <c r="P176" s="163"/>
      <c r="Q176" s="163"/>
      <c r="R176" s="163"/>
      <c r="S176" s="163"/>
      <c r="T176" s="163">
        <f t="shared" si="57"/>
        <v>0</v>
      </c>
      <c r="U176" s="163"/>
      <c r="V176" s="163"/>
      <c r="W176" s="163"/>
      <c r="X176" s="163"/>
      <c r="Y176" s="163">
        <f t="shared" si="60"/>
        <v>0</v>
      </c>
      <c r="Z176" s="163"/>
      <c r="AA176" s="163"/>
      <c r="AB176" s="163"/>
      <c r="AC176" s="163"/>
      <c r="AD176" s="225"/>
      <c r="AE176" s="163">
        <f t="shared" si="61"/>
        <v>0</v>
      </c>
      <c r="AF176" s="163"/>
      <c r="AG176" s="163"/>
      <c r="AH176" s="163"/>
      <c r="AI176" s="163"/>
      <c r="AJ176" s="48"/>
      <c r="AK176" s="26"/>
    </row>
    <row r="177" spans="1:37" ht="30" customHeight="1" x14ac:dyDescent="0.25">
      <c r="A177" s="214" t="s">
        <v>61</v>
      </c>
      <c r="B177" s="215" t="s">
        <v>62</v>
      </c>
      <c r="C177" s="216">
        <f t="shared" si="58"/>
        <v>0</v>
      </c>
      <c r="D177" s="217"/>
      <c r="E177" s="217"/>
      <c r="F177" s="217"/>
      <c r="G177" s="217"/>
      <c r="H177" s="217"/>
      <c r="I177" s="218">
        <f t="shared" si="56"/>
        <v>0</v>
      </c>
      <c r="J177" s="218"/>
      <c r="K177" s="218"/>
      <c r="L177" s="218"/>
      <c r="M177" s="218"/>
      <c r="N177" s="218">
        <f t="shared" si="59"/>
        <v>0</v>
      </c>
      <c r="O177" s="218"/>
      <c r="P177" s="218"/>
      <c r="Q177" s="218"/>
      <c r="R177" s="218"/>
      <c r="S177" s="218"/>
      <c r="T177" s="218">
        <f t="shared" si="57"/>
        <v>0</v>
      </c>
      <c r="U177" s="218"/>
      <c r="V177" s="218"/>
      <c r="W177" s="218"/>
      <c r="X177" s="218"/>
      <c r="Y177" s="218">
        <f t="shared" si="60"/>
        <v>0</v>
      </c>
      <c r="Z177" s="218"/>
      <c r="AA177" s="218"/>
      <c r="AB177" s="218"/>
      <c r="AC177" s="218"/>
      <c r="AD177" s="254"/>
      <c r="AE177" s="218">
        <f t="shared" si="61"/>
        <v>0</v>
      </c>
      <c r="AF177" s="218"/>
      <c r="AG177" s="218"/>
      <c r="AH177" s="218"/>
      <c r="AI177" s="218"/>
      <c r="AJ177" s="219"/>
      <c r="AK177" s="26"/>
    </row>
    <row r="178" spans="1:37" x14ac:dyDescent="0.25">
      <c r="A178" s="10"/>
      <c r="B178" s="43"/>
    </row>
    <row r="179" spans="1:37" x14ac:dyDescent="0.25">
      <c r="A179" s="10"/>
      <c r="B179" s="298"/>
      <c r="C179" s="298"/>
      <c r="D179" s="298"/>
      <c r="N179" s="211"/>
      <c r="O179" s="211"/>
      <c r="P179" s="211"/>
      <c r="Q179" s="211"/>
      <c r="R179" s="211"/>
      <c r="S179" s="211"/>
      <c r="T179" s="211"/>
      <c r="Y179" s="211"/>
      <c r="Z179" s="211"/>
      <c r="AA179" s="211"/>
      <c r="AB179" s="211"/>
      <c r="AC179" s="211"/>
      <c r="AD179" s="255"/>
      <c r="AE179" s="211"/>
    </row>
    <row r="180" spans="1:37" x14ac:dyDescent="0.25">
      <c r="A180" s="10"/>
      <c r="B180" s="43"/>
      <c r="N180" s="212"/>
      <c r="O180" s="212"/>
      <c r="P180" s="212"/>
      <c r="Q180" s="212"/>
      <c r="R180" s="212"/>
      <c r="S180" s="212"/>
      <c r="T180" s="212"/>
      <c r="Y180" s="212"/>
      <c r="Z180" s="212"/>
      <c r="AA180" s="212"/>
      <c r="AB180" s="212"/>
      <c r="AC180" s="212"/>
      <c r="AD180" s="256"/>
      <c r="AE180" s="212"/>
    </row>
    <row r="181" spans="1:37" x14ac:dyDescent="0.25">
      <c r="A181" s="10"/>
      <c r="B181" s="43"/>
    </row>
    <row r="182" spans="1:37" x14ac:dyDescent="0.25">
      <c r="A182" s="10"/>
      <c r="B182" s="43"/>
    </row>
    <row r="183" spans="1:37" x14ac:dyDescent="0.25">
      <c r="A183" s="10"/>
      <c r="B183" s="43"/>
    </row>
    <row r="184" spans="1:37" x14ac:dyDescent="0.25">
      <c r="A184" s="10"/>
      <c r="B184" s="43"/>
    </row>
    <row r="185" spans="1:37" x14ac:dyDescent="0.25">
      <c r="A185" s="10"/>
      <c r="B185" s="43"/>
    </row>
    <row r="186" spans="1:37" x14ac:dyDescent="0.25">
      <c r="A186" s="10"/>
      <c r="B186" s="43"/>
    </row>
    <row r="187" spans="1:37" x14ac:dyDescent="0.25">
      <c r="A187" s="10"/>
      <c r="B187" s="43"/>
    </row>
    <row r="188" spans="1:37" x14ac:dyDescent="0.25">
      <c r="A188" s="10"/>
      <c r="B188" s="43"/>
    </row>
    <row r="189" spans="1:37" x14ac:dyDescent="0.25">
      <c r="A189" s="10"/>
      <c r="B189" s="43"/>
    </row>
    <row r="190" spans="1:37" x14ac:dyDescent="0.25">
      <c r="A190" s="10"/>
      <c r="B190" s="43"/>
    </row>
    <row r="191" spans="1:37" x14ac:dyDescent="0.25">
      <c r="A191" s="10"/>
      <c r="B191" s="43"/>
    </row>
    <row r="192" spans="1:37" x14ac:dyDescent="0.25">
      <c r="A192" s="10"/>
      <c r="B192" s="43"/>
    </row>
    <row r="193" spans="1:2" x14ac:dyDescent="0.25">
      <c r="A193" s="10"/>
      <c r="B193" s="43"/>
    </row>
    <row r="194" spans="1:2" x14ac:dyDescent="0.25">
      <c r="A194" s="10"/>
      <c r="B194" s="43"/>
    </row>
    <row r="195" spans="1:2" x14ac:dyDescent="0.25">
      <c r="A195" s="10"/>
      <c r="B195" s="43"/>
    </row>
    <row r="196" spans="1:2" x14ac:dyDescent="0.25">
      <c r="A196" s="10"/>
      <c r="B196" s="43"/>
    </row>
    <row r="197" spans="1:2" x14ac:dyDescent="0.25">
      <c r="A197" s="10"/>
      <c r="B197" s="43"/>
    </row>
    <row r="198" spans="1:2" x14ac:dyDescent="0.25">
      <c r="A198" s="10"/>
      <c r="B198" s="43"/>
    </row>
    <row r="199" spans="1:2" x14ac:dyDescent="0.25">
      <c r="A199" s="10"/>
      <c r="B199" s="43"/>
    </row>
    <row r="200" spans="1:2" x14ac:dyDescent="0.25">
      <c r="A200" s="10"/>
      <c r="B200" s="43"/>
    </row>
    <row r="201" spans="1:2" x14ac:dyDescent="0.25">
      <c r="A201" s="10"/>
      <c r="B201" s="43"/>
    </row>
    <row r="202" spans="1:2" x14ac:dyDescent="0.25">
      <c r="A202" s="10"/>
      <c r="B202" s="43"/>
    </row>
    <row r="203" spans="1:2" x14ac:dyDescent="0.25">
      <c r="A203" s="10"/>
      <c r="B203" s="43"/>
    </row>
    <row r="204" spans="1:2" x14ac:dyDescent="0.25">
      <c r="A204" s="10"/>
      <c r="B204" s="43"/>
    </row>
    <row r="205" spans="1:2" x14ac:dyDescent="0.25">
      <c r="A205" s="10"/>
      <c r="B205" s="43"/>
    </row>
    <row r="206" spans="1:2" x14ac:dyDescent="0.25">
      <c r="A206" s="10"/>
      <c r="B206" s="43"/>
    </row>
    <row r="207" spans="1:2" x14ac:dyDescent="0.25">
      <c r="A207" s="10"/>
      <c r="B207" s="43"/>
    </row>
    <row r="208" spans="1:2" x14ac:dyDescent="0.25">
      <c r="A208" s="10"/>
      <c r="B208" s="43"/>
    </row>
    <row r="209" spans="1:2" x14ac:dyDescent="0.25">
      <c r="A209" s="10"/>
      <c r="B209" s="43"/>
    </row>
    <row r="210" spans="1:2" x14ac:dyDescent="0.25">
      <c r="A210" s="10"/>
      <c r="B210" s="43"/>
    </row>
    <row r="211" spans="1:2" x14ac:dyDescent="0.25">
      <c r="A211" s="10"/>
      <c r="B211" s="43"/>
    </row>
    <row r="212" spans="1:2" x14ac:dyDescent="0.25">
      <c r="A212" s="10"/>
      <c r="B212" s="43"/>
    </row>
    <row r="213" spans="1:2" x14ac:dyDescent="0.25">
      <c r="A213" s="10"/>
      <c r="B213" s="43"/>
    </row>
    <row r="214" spans="1:2" x14ac:dyDescent="0.25">
      <c r="A214" s="10"/>
      <c r="B214" s="43"/>
    </row>
    <row r="215" spans="1:2" x14ac:dyDescent="0.25">
      <c r="A215" s="10"/>
      <c r="B215" s="43"/>
    </row>
    <row r="216" spans="1:2" x14ac:dyDescent="0.25">
      <c r="A216" s="10"/>
    </row>
    <row r="217" spans="1:2" x14ac:dyDescent="0.25">
      <c r="A217" s="10"/>
    </row>
    <row r="218" spans="1:2" x14ac:dyDescent="0.25">
      <c r="A218" s="10"/>
    </row>
    <row r="219" spans="1:2" x14ac:dyDescent="0.25">
      <c r="A219" s="10"/>
    </row>
    <row r="220" spans="1:2" x14ac:dyDescent="0.25">
      <c r="A220" s="10"/>
    </row>
    <row r="221" spans="1:2" x14ac:dyDescent="0.25">
      <c r="A221" s="10"/>
    </row>
    <row r="222" spans="1:2" x14ac:dyDescent="0.25">
      <c r="A222" s="10"/>
    </row>
    <row r="223" spans="1:2" x14ac:dyDescent="0.25">
      <c r="A223" s="10"/>
    </row>
    <row r="224" spans="1:2" x14ac:dyDescent="0.25">
      <c r="A224" s="10"/>
    </row>
    <row r="225" spans="1:1" x14ac:dyDescent="0.25">
      <c r="A225" s="10"/>
    </row>
    <row r="226" spans="1:1" x14ac:dyDescent="0.25">
      <c r="A226" s="10"/>
    </row>
    <row r="227" spans="1:1" x14ac:dyDescent="0.25">
      <c r="A227" s="10"/>
    </row>
    <row r="228" spans="1:1" x14ac:dyDescent="0.25">
      <c r="A228" s="10"/>
    </row>
    <row r="229" spans="1:1" x14ac:dyDescent="0.25">
      <c r="A229" s="10"/>
    </row>
    <row r="230" spans="1:1" x14ac:dyDescent="0.25">
      <c r="A230" s="10"/>
    </row>
    <row r="231" spans="1:1" x14ac:dyDescent="0.25">
      <c r="A231" s="10"/>
    </row>
    <row r="232" spans="1:1" x14ac:dyDescent="0.25">
      <c r="A232" s="10"/>
    </row>
    <row r="233" spans="1:1" x14ac:dyDescent="0.25">
      <c r="A233" s="10"/>
    </row>
    <row r="234" spans="1:1" x14ac:dyDescent="0.25">
      <c r="A234" s="10"/>
    </row>
    <row r="235" spans="1:1" x14ac:dyDescent="0.25">
      <c r="A235" s="10"/>
    </row>
  </sheetData>
  <mergeCells count="33">
    <mergeCell ref="B179:D179"/>
    <mergeCell ref="AJ6:AJ9"/>
    <mergeCell ref="I8:I9"/>
    <mergeCell ref="J8:M8"/>
    <mergeCell ref="N8:N9"/>
    <mergeCell ref="O8:R8"/>
    <mergeCell ref="S8:S9"/>
    <mergeCell ref="T8:T9"/>
    <mergeCell ref="U8:X8"/>
    <mergeCell ref="Y8:Y9"/>
    <mergeCell ref="Z8:AC8"/>
    <mergeCell ref="AD8:AD9"/>
    <mergeCell ref="AE8:AE9"/>
    <mergeCell ref="AF8:AI8"/>
    <mergeCell ref="C7:C9"/>
    <mergeCell ref="D7:G7"/>
    <mergeCell ref="J118:J119"/>
    <mergeCell ref="K118:K119"/>
    <mergeCell ref="M118:M119"/>
    <mergeCell ref="A4:AJ4"/>
    <mergeCell ref="A6:A9"/>
    <mergeCell ref="B6:B9"/>
    <mergeCell ref="N6:X6"/>
    <mergeCell ref="Y6:AI6"/>
    <mergeCell ref="D8:G8"/>
    <mergeCell ref="H8:H9"/>
    <mergeCell ref="C6:M6"/>
    <mergeCell ref="AC1:AJ1"/>
    <mergeCell ref="AC2:AJ2"/>
    <mergeCell ref="R1:Y1"/>
    <mergeCell ref="A3:AJ3"/>
    <mergeCell ref="AH5:AJ5"/>
    <mergeCell ref="D1:I1"/>
  </mergeCells>
  <pageMargins left="0.196850393700787" right="0.196850393700787" top="0.34" bottom="0.23622047244094499" header="0.31496062992126" footer="0.196850393700787"/>
  <pageSetup paperSize="8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89"/>
  <sheetViews>
    <sheetView topLeftCell="U25" workbookViewId="0">
      <selection activeCell="AF29" sqref="AF29:AI35"/>
    </sheetView>
  </sheetViews>
  <sheetFormatPr defaultColWidth="8.85546875" defaultRowHeight="15" x14ac:dyDescent="0.25"/>
  <cols>
    <col min="1" max="1" width="2" style="1" customWidth="1"/>
    <col min="2" max="2" width="24.85546875" style="1" customWidth="1"/>
    <col min="3" max="3" width="10.5703125" style="85" customWidth="1"/>
    <col min="4" max="4" width="11.28515625" style="85" customWidth="1"/>
    <col min="5" max="5" width="10.7109375" style="85" customWidth="1"/>
    <col min="6" max="7" width="9.42578125" style="85" customWidth="1"/>
    <col min="8" max="8" width="7.85546875" style="85" customWidth="1"/>
    <col min="9" max="10" width="10.5703125" style="85" customWidth="1"/>
    <col min="11" max="11" width="9.7109375" style="85" customWidth="1"/>
    <col min="12" max="12" width="10.5703125" style="85" customWidth="1"/>
    <col min="13" max="13" width="9" style="85" customWidth="1"/>
    <col min="14" max="14" width="11.85546875" style="85" customWidth="1"/>
    <col min="15" max="20" width="10.5703125" style="85" customWidth="1"/>
    <col min="21" max="21" width="9.5703125" style="85" customWidth="1"/>
    <col min="22" max="22" width="9.42578125" style="85" customWidth="1"/>
    <col min="23" max="23" width="8.85546875" style="85" customWidth="1"/>
    <col min="24" max="26" width="10.5703125" style="85" customWidth="1"/>
    <col min="27" max="29" width="10.140625" style="85" customWidth="1"/>
    <col min="30" max="30" width="7.5703125" style="85" customWidth="1"/>
    <col min="31" max="31" width="10.140625" style="85" customWidth="1"/>
    <col min="32" max="35" width="10.5703125" style="85" customWidth="1"/>
    <col min="36" max="36" width="10.5703125" style="87" hidden="1" customWidth="1"/>
    <col min="37" max="16384" width="8.85546875" style="1"/>
  </cols>
  <sheetData>
    <row r="1" spans="1:40" x14ac:dyDescent="0.25">
      <c r="A1" s="313" t="s">
        <v>203</v>
      </c>
      <c r="B1" s="313"/>
      <c r="C1" s="313"/>
      <c r="D1" s="313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</row>
    <row r="2" spans="1:40" x14ac:dyDescent="0.25">
      <c r="A2" s="313"/>
      <c r="B2" s="313"/>
      <c r="C2" s="313"/>
      <c r="D2" s="313"/>
      <c r="N2" s="314"/>
      <c r="O2" s="314"/>
      <c r="P2" s="314"/>
      <c r="Q2" s="314"/>
      <c r="R2" s="314"/>
      <c r="S2" s="314"/>
      <c r="T2" s="314"/>
      <c r="U2" s="314"/>
      <c r="V2" s="314"/>
      <c r="W2" s="314"/>
      <c r="X2" s="314"/>
      <c r="Y2" s="314"/>
      <c r="Z2" s="314"/>
      <c r="AA2" s="314"/>
      <c r="AB2" s="314"/>
      <c r="AC2" s="314"/>
      <c r="AD2" s="314"/>
      <c r="AE2" s="314"/>
      <c r="AF2" s="314"/>
      <c r="AG2" s="314"/>
      <c r="AH2" s="314"/>
      <c r="AI2" s="314"/>
      <c r="AJ2" s="314"/>
    </row>
    <row r="3" spans="1:40" x14ac:dyDescent="0.25">
      <c r="A3" s="12"/>
      <c r="B3" s="12"/>
      <c r="C3" s="86"/>
      <c r="D3" s="86"/>
    </row>
    <row r="4" spans="1:40" ht="51" customHeight="1" x14ac:dyDescent="0.25">
      <c r="A4" s="315" t="s">
        <v>204</v>
      </c>
      <c r="B4" s="316"/>
      <c r="C4" s="316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6"/>
      <c r="AA4" s="316"/>
      <c r="AB4" s="316"/>
      <c r="AC4" s="316"/>
      <c r="AD4" s="316"/>
      <c r="AE4" s="316"/>
      <c r="AF4" s="316"/>
      <c r="AG4" s="316"/>
      <c r="AH4" s="316"/>
      <c r="AI4" s="316"/>
      <c r="AJ4" s="316"/>
    </row>
    <row r="6" spans="1:40" s="2" customFormat="1" ht="19.899999999999999" customHeight="1" x14ac:dyDescent="0.2">
      <c r="A6" s="303" t="s">
        <v>0</v>
      </c>
      <c r="B6" s="304" t="s">
        <v>1</v>
      </c>
      <c r="C6" s="307" t="s">
        <v>2</v>
      </c>
      <c r="D6" s="308"/>
      <c r="E6" s="308"/>
      <c r="F6" s="308"/>
      <c r="G6" s="308"/>
      <c r="H6" s="308"/>
      <c r="I6" s="308"/>
      <c r="J6" s="308"/>
      <c r="K6" s="308"/>
      <c r="L6" s="308"/>
      <c r="M6" s="309"/>
      <c r="N6" s="307" t="s">
        <v>3</v>
      </c>
      <c r="O6" s="308"/>
      <c r="P6" s="308"/>
      <c r="Q6" s="308"/>
      <c r="R6" s="308"/>
      <c r="S6" s="308"/>
      <c r="T6" s="308"/>
      <c r="U6" s="308"/>
      <c r="V6" s="308"/>
      <c r="W6" s="308"/>
      <c r="X6" s="309"/>
      <c r="Y6" s="307" t="s">
        <v>4</v>
      </c>
      <c r="Z6" s="308"/>
      <c r="AA6" s="308"/>
      <c r="AB6" s="308"/>
      <c r="AC6" s="308"/>
      <c r="AD6" s="308"/>
      <c r="AE6" s="308"/>
      <c r="AF6" s="308"/>
      <c r="AG6" s="308"/>
      <c r="AH6" s="308"/>
      <c r="AI6" s="309"/>
      <c r="AJ6" s="317" t="s">
        <v>5</v>
      </c>
    </row>
    <row r="7" spans="1:40" s="2" customFormat="1" ht="19.899999999999999" customHeight="1" x14ac:dyDescent="0.2">
      <c r="A7" s="303"/>
      <c r="B7" s="305"/>
      <c r="C7" s="318"/>
      <c r="D7" s="307" t="s">
        <v>6</v>
      </c>
      <c r="E7" s="308"/>
      <c r="F7" s="308"/>
      <c r="G7" s="309"/>
      <c r="H7" s="319" t="s">
        <v>77</v>
      </c>
      <c r="I7" s="319" t="s">
        <v>205</v>
      </c>
      <c r="J7" s="310" t="s">
        <v>23</v>
      </c>
      <c r="K7" s="311"/>
      <c r="L7" s="311"/>
      <c r="M7" s="312"/>
      <c r="N7" s="319" t="s">
        <v>21</v>
      </c>
      <c r="O7" s="307" t="s">
        <v>6</v>
      </c>
      <c r="P7" s="308"/>
      <c r="Q7" s="308"/>
      <c r="R7" s="309"/>
      <c r="S7" s="319" t="s">
        <v>77</v>
      </c>
      <c r="T7" s="319" t="s">
        <v>205</v>
      </c>
      <c r="U7" s="310" t="s">
        <v>23</v>
      </c>
      <c r="V7" s="311"/>
      <c r="W7" s="311"/>
      <c r="X7" s="312"/>
      <c r="Y7" s="319" t="s">
        <v>21</v>
      </c>
      <c r="Z7" s="307" t="s">
        <v>6</v>
      </c>
      <c r="AA7" s="308"/>
      <c r="AB7" s="308"/>
      <c r="AC7" s="309"/>
      <c r="AD7" s="319" t="s">
        <v>77</v>
      </c>
      <c r="AE7" s="319" t="s">
        <v>205</v>
      </c>
      <c r="AF7" s="310" t="s">
        <v>23</v>
      </c>
      <c r="AG7" s="311"/>
      <c r="AH7" s="311"/>
      <c r="AI7" s="312"/>
      <c r="AJ7" s="317"/>
    </row>
    <row r="8" spans="1:40" s="2" customFormat="1" ht="104.25" customHeight="1" x14ac:dyDescent="0.2">
      <c r="A8" s="303"/>
      <c r="B8" s="306"/>
      <c r="C8" s="318"/>
      <c r="D8" s="88" t="s">
        <v>206</v>
      </c>
      <c r="E8" s="88" t="s">
        <v>207</v>
      </c>
      <c r="F8" s="88" t="s">
        <v>208</v>
      </c>
      <c r="G8" s="88" t="s">
        <v>209</v>
      </c>
      <c r="H8" s="320"/>
      <c r="I8" s="320"/>
      <c r="J8" s="89" t="s">
        <v>210</v>
      </c>
      <c r="K8" s="89" t="s">
        <v>211</v>
      </c>
      <c r="L8" s="89" t="s">
        <v>212</v>
      </c>
      <c r="M8" s="89" t="s">
        <v>213</v>
      </c>
      <c r="N8" s="320"/>
      <c r="O8" s="88" t="s">
        <v>206</v>
      </c>
      <c r="P8" s="88" t="s">
        <v>207</v>
      </c>
      <c r="Q8" s="88" t="s">
        <v>208</v>
      </c>
      <c r="R8" s="88" t="s">
        <v>214</v>
      </c>
      <c r="S8" s="320"/>
      <c r="T8" s="320"/>
      <c r="U8" s="89" t="s">
        <v>210</v>
      </c>
      <c r="V8" s="89" t="s">
        <v>211</v>
      </c>
      <c r="W8" s="89" t="s">
        <v>212</v>
      </c>
      <c r="X8" s="89" t="s">
        <v>213</v>
      </c>
      <c r="Y8" s="320"/>
      <c r="Z8" s="88" t="s">
        <v>206</v>
      </c>
      <c r="AA8" s="88" t="s">
        <v>207</v>
      </c>
      <c r="AB8" s="88" t="s">
        <v>215</v>
      </c>
      <c r="AC8" s="88" t="s">
        <v>214</v>
      </c>
      <c r="AD8" s="320"/>
      <c r="AE8" s="320"/>
      <c r="AF8" s="89" t="s">
        <v>210</v>
      </c>
      <c r="AG8" s="89" t="s">
        <v>211</v>
      </c>
      <c r="AH8" s="89" t="s">
        <v>212</v>
      </c>
      <c r="AI8" s="89" t="s">
        <v>213</v>
      </c>
      <c r="AJ8" s="317"/>
    </row>
    <row r="9" spans="1:40" s="3" customFormat="1" ht="21.75" customHeight="1" x14ac:dyDescent="0.2">
      <c r="A9" s="90" t="s">
        <v>7</v>
      </c>
      <c r="B9" s="90" t="s">
        <v>8</v>
      </c>
      <c r="C9" s="91">
        <v>1</v>
      </c>
      <c r="D9" s="91">
        <v>2</v>
      </c>
      <c r="E9" s="91">
        <v>3</v>
      </c>
      <c r="F9" s="91">
        <v>4</v>
      </c>
      <c r="G9" s="91">
        <v>5</v>
      </c>
      <c r="H9" s="91">
        <v>6</v>
      </c>
      <c r="I9" s="91">
        <v>7</v>
      </c>
      <c r="J9" s="91">
        <v>8</v>
      </c>
      <c r="K9" s="91">
        <v>9</v>
      </c>
      <c r="L9" s="91">
        <v>10</v>
      </c>
      <c r="M9" s="91">
        <v>11</v>
      </c>
      <c r="N9" s="91">
        <v>12</v>
      </c>
      <c r="O9" s="91">
        <v>13</v>
      </c>
      <c r="P9" s="91">
        <v>14</v>
      </c>
      <c r="Q9" s="91">
        <v>15</v>
      </c>
      <c r="R9" s="91">
        <v>16</v>
      </c>
      <c r="S9" s="91">
        <v>17</v>
      </c>
      <c r="T9" s="91">
        <v>18</v>
      </c>
      <c r="U9" s="91">
        <v>19</v>
      </c>
      <c r="V9" s="91">
        <v>20</v>
      </c>
      <c r="W9" s="91">
        <v>21</v>
      </c>
      <c r="X9" s="91">
        <v>22</v>
      </c>
      <c r="Y9" s="91">
        <v>23</v>
      </c>
      <c r="Z9" s="91">
        <v>24</v>
      </c>
      <c r="AA9" s="91">
        <v>25</v>
      </c>
      <c r="AB9" s="91">
        <v>26</v>
      </c>
      <c r="AC9" s="91">
        <v>27</v>
      </c>
      <c r="AD9" s="91">
        <v>28</v>
      </c>
      <c r="AE9" s="91">
        <v>29</v>
      </c>
      <c r="AF9" s="91">
        <v>30</v>
      </c>
      <c r="AG9" s="91">
        <v>31</v>
      </c>
      <c r="AH9" s="91">
        <v>32</v>
      </c>
      <c r="AI9" s="91">
        <v>33</v>
      </c>
      <c r="AJ9" s="91" t="s">
        <v>9</v>
      </c>
    </row>
    <row r="10" spans="1:40" s="2" customFormat="1" ht="23.25" customHeight="1" x14ac:dyDescent="0.2">
      <c r="A10" s="92"/>
      <c r="B10" s="83" t="s">
        <v>10</v>
      </c>
      <c r="C10" s="93">
        <v>4472917.2815362997</v>
      </c>
      <c r="D10" s="93">
        <v>1779101.9038149999</v>
      </c>
      <c r="E10" s="93">
        <v>1756539.9619389998</v>
      </c>
      <c r="F10" s="93">
        <v>41593.120600000002</v>
      </c>
      <c r="G10" s="93">
        <v>895681.2951822998</v>
      </c>
      <c r="H10" s="93">
        <v>9955.0182035313464</v>
      </c>
      <c r="I10" s="93">
        <v>4472917.2815362997</v>
      </c>
      <c r="J10" s="93">
        <v>1540421.7023979998</v>
      </c>
      <c r="K10" s="93">
        <v>214590.71053700001</v>
      </c>
      <c r="L10" s="93">
        <v>142140.86699999997</v>
      </c>
      <c r="M10" s="93">
        <v>154878.557023</v>
      </c>
      <c r="N10" s="93">
        <v>5344695.3882899992</v>
      </c>
      <c r="O10" s="93">
        <v>2476540.2813189998</v>
      </c>
      <c r="P10" s="93">
        <v>2118450.6630369998</v>
      </c>
      <c r="Q10" s="93">
        <v>54190.877886000009</v>
      </c>
      <c r="R10" s="93">
        <v>936438.96604800015</v>
      </c>
      <c r="S10" s="93">
        <v>109647.37301549602</v>
      </c>
      <c r="T10" s="93">
        <v>2557493.8859450002</v>
      </c>
      <c r="U10" s="93">
        <v>1759520.856311</v>
      </c>
      <c r="V10" s="93">
        <v>281930.46959799994</v>
      </c>
      <c r="W10" s="93">
        <v>369280.78899999999</v>
      </c>
      <c r="X10" s="93">
        <v>145287.77103599999</v>
      </c>
      <c r="Y10" s="93">
        <v>8479159.6603820007</v>
      </c>
      <c r="Z10" s="93">
        <v>3440037.7018610002</v>
      </c>
      <c r="AA10" s="93">
        <v>4043014.6285089999</v>
      </c>
      <c r="AB10" s="93">
        <v>56340.015599999999</v>
      </c>
      <c r="AC10" s="93">
        <v>1282859.0144120001</v>
      </c>
      <c r="AD10" s="93">
        <v>12278.56523049836</v>
      </c>
      <c r="AE10" s="93">
        <v>3782780.4507420002</v>
      </c>
      <c r="AF10" s="93">
        <v>2060348.3200360001</v>
      </c>
      <c r="AG10" s="93">
        <v>340587.44463599997</v>
      </c>
      <c r="AH10" s="93">
        <v>1103595.9280000001</v>
      </c>
      <c r="AI10" s="93">
        <v>290903.48307000002</v>
      </c>
      <c r="AJ10" s="93"/>
    </row>
    <row r="11" spans="1:40" s="2" customFormat="1" ht="23.25" customHeight="1" x14ac:dyDescent="0.2">
      <c r="A11" s="92" t="s">
        <v>11</v>
      </c>
      <c r="B11" s="83" t="s">
        <v>32</v>
      </c>
      <c r="C11" s="93">
        <v>3540777.6761119999</v>
      </c>
      <c r="D11" s="93">
        <v>1549106.0689329999</v>
      </c>
      <c r="E11" s="93">
        <v>1361998.9269389999</v>
      </c>
      <c r="F11" s="93">
        <v>0</v>
      </c>
      <c r="G11" s="93">
        <v>629672.68024000002</v>
      </c>
      <c r="H11" s="93">
        <v>6378.1762024955988</v>
      </c>
      <c r="I11" s="93">
        <v>1753022.8698590002</v>
      </c>
      <c r="J11" s="93">
        <v>1463209.8515619999</v>
      </c>
      <c r="K11" s="93">
        <v>163136.369274</v>
      </c>
      <c r="L11" s="93">
        <v>36032.862999999998</v>
      </c>
      <c r="M11" s="93">
        <v>90643.786023000008</v>
      </c>
      <c r="N11" s="93">
        <v>4037079.3766200002</v>
      </c>
      <c r="O11" s="93">
        <v>1888185.7176019999</v>
      </c>
      <c r="P11" s="93">
        <v>1633966.515537</v>
      </c>
      <c r="Q11" s="93">
        <v>0</v>
      </c>
      <c r="R11" s="93">
        <v>765139.34348100005</v>
      </c>
      <c r="S11" s="93">
        <v>104877.62851827493</v>
      </c>
      <c r="T11" s="93">
        <v>1977694.6953540002</v>
      </c>
      <c r="U11" s="93">
        <v>1668870.303205</v>
      </c>
      <c r="V11" s="93">
        <v>217239.97011299999</v>
      </c>
      <c r="W11" s="93">
        <v>22057</v>
      </c>
      <c r="X11" s="93">
        <v>69527.422035999989</v>
      </c>
      <c r="Y11" s="93">
        <v>6957327.8865240002</v>
      </c>
      <c r="Z11" s="93">
        <v>2882374.7930529998</v>
      </c>
      <c r="AA11" s="93">
        <v>3384070.736509</v>
      </c>
      <c r="AB11" s="93">
        <v>0</v>
      </c>
      <c r="AC11" s="93">
        <v>1042388.056962</v>
      </c>
      <c r="AD11" s="93">
        <v>8064.4398642387296</v>
      </c>
      <c r="AE11" s="93">
        <v>2430376.6467420002</v>
      </c>
      <c r="AF11" s="93">
        <v>1971846.9640360002</v>
      </c>
      <c r="AG11" s="93">
        <v>263450.65263600001</v>
      </c>
      <c r="AH11" s="93">
        <v>63431</v>
      </c>
      <c r="AI11" s="93">
        <v>131648.03007000001</v>
      </c>
      <c r="AJ11" s="93"/>
    </row>
    <row r="12" spans="1:40" s="116" customFormat="1" ht="25.5" customHeight="1" x14ac:dyDescent="0.25">
      <c r="A12" s="110">
        <v>1</v>
      </c>
      <c r="B12" s="111" t="s">
        <v>36</v>
      </c>
      <c r="C12" s="112">
        <v>1116055.1219879999</v>
      </c>
      <c r="D12" s="112">
        <v>535691.26115899999</v>
      </c>
      <c r="E12" s="112">
        <v>407201.16862499999</v>
      </c>
      <c r="F12" s="112">
        <v>0</v>
      </c>
      <c r="G12" s="112">
        <v>173162.69220399999</v>
      </c>
      <c r="H12" s="112">
        <v>1786.8473941287207</v>
      </c>
      <c r="I12" s="112">
        <v>601678.25885900005</v>
      </c>
      <c r="J12" s="112">
        <v>505183.92345300002</v>
      </c>
      <c r="K12" s="112">
        <v>49550.596952</v>
      </c>
      <c r="L12" s="112">
        <v>19639.562999999998</v>
      </c>
      <c r="M12" s="112">
        <v>27304.175454</v>
      </c>
      <c r="N12" s="112">
        <v>1444544.669702</v>
      </c>
      <c r="O12" s="112">
        <v>684949.45230600005</v>
      </c>
      <c r="P12" s="112">
        <v>556134.74422300002</v>
      </c>
      <c r="Q12" s="112">
        <v>0</v>
      </c>
      <c r="R12" s="112">
        <v>250550.67317300002</v>
      </c>
      <c r="S12" s="112">
        <v>1953.4049492426791</v>
      </c>
      <c r="T12" s="112">
        <v>641694.12560100004</v>
      </c>
      <c r="U12" s="112">
        <v>550927.5617679999</v>
      </c>
      <c r="V12" s="112">
        <v>62232.780236999999</v>
      </c>
      <c r="W12" s="112">
        <v>8414</v>
      </c>
      <c r="X12" s="112">
        <v>20119.783596000001</v>
      </c>
      <c r="Y12" s="112">
        <v>2049289.662303</v>
      </c>
      <c r="Z12" s="112">
        <v>1000596.6769139998</v>
      </c>
      <c r="AA12" s="112">
        <v>802206.88019499998</v>
      </c>
      <c r="AB12" s="112">
        <v>0</v>
      </c>
      <c r="AC12" s="112">
        <v>331182.90519400005</v>
      </c>
      <c r="AD12" s="112">
        <v>2360.1610622581034</v>
      </c>
      <c r="AE12" s="112">
        <v>778005.25731999998</v>
      </c>
      <c r="AF12" s="112">
        <v>647101.12556299998</v>
      </c>
      <c r="AG12" s="112">
        <v>73401.300199999998</v>
      </c>
      <c r="AH12" s="112">
        <v>21800</v>
      </c>
      <c r="AI12" s="112">
        <v>35702.831556999998</v>
      </c>
      <c r="AJ12" s="112"/>
      <c r="AK12" s="113"/>
      <c r="AL12" s="113"/>
      <c r="AM12" s="114"/>
      <c r="AN12" s="115"/>
    </row>
    <row r="13" spans="1:40" s="116" customFormat="1" ht="25.5" customHeight="1" x14ac:dyDescent="0.25">
      <c r="A13" s="117">
        <v>2</v>
      </c>
      <c r="B13" s="111" t="s">
        <v>37</v>
      </c>
      <c r="C13" s="112">
        <v>1523636.4969919999</v>
      </c>
      <c r="D13" s="112">
        <v>583341.14575699996</v>
      </c>
      <c r="E13" s="112">
        <v>692670.82181400002</v>
      </c>
      <c r="F13" s="112">
        <v>0</v>
      </c>
      <c r="G13" s="112">
        <v>247624.52942099998</v>
      </c>
      <c r="H13" s="112">
        <v>2653.4495943797692</v>
      </c>
      <c r="I13" s="112">
        <v>694182.13950099994</v>
      </c>
      <c r="J13" s="112">
        <v>577166.99786</v>
      </c>
      <c r="K13" s="112">
        <v>63541.812072000001</v>
      </c>
      <c r="L13" s="112">
        <v>13395.3</v>
      </c>
      <c r="M13" s="112">
        <v>40078.029568999998</v>
      </c>
      <c r="N13" s="112">
        <v>1670831.1455980001</v>
      </c>
      <c r="O13" s="112">
        <v>717419.31082100002</v>
      </c>
      <c r="P13" s="112">
        <v>796428.03581400006</v>
      </c>
      <c r="Q13" s="112">
        <v>0</v>
      </c>
      <c r="R13" s="112">
        <v>273976.79896300001</v>
      </c>
      <c r="S13" s="112">
        <v>2769.4409283692507</v>
      </c>
      <c r="T13" s="112">
        <v>836001.902856</v>
      </c>
      <c r="U13" s="112">
        <v>703714.86853600002</v>
      </c>
      <c r="V13" s="112">
        <v>91063.462524000002</v>
      </c>
      <c r="W13" s="112">
        <v>11135</v>
      </c>
      <c r="X13" s="112">
        <v>30088.571796</v>
      </c>
      <c r="Y13" s="112">
        <v>2874646.3866370004</v>
      </c>
      <c r="Z13" s="112">
        <v>1053227.129857</v>
      </c>
      <c r="AA13" s="112">
        <v>1625373.4818139998</v>
      </c>
      <c r="AB13" s="112">
        <v>0</v>
      </c>
      <c r="AC13" s="112">
        <v>334894.07496599999</v>
      </c>
      <c r="AD13" s="112">
        <v>3173.5376896455068</v>
      </c>
      <c r="AE13" s="112">
        <v>1004070.441074</v>
      </c>
      <c r="AF13" s="112">
        <v>811128.37088099995</v>
      </c>
      <c r="AG13" s="112">
        <v>110460.20718</v>
      </c>
      <c r="AH13" s="112">
        <v>29357</v>
      </c>
      <c r="AI13" s="112">
        <v>53124.863013000002</v>
      </c>
      <c r="AJ13" s="112"/>
      <c r="AK13" s="113"/>
      <c r="AL13" s="113"/>
      <c r="AM13" s="113"/>
      <c r="AN13" s="115"/>
    </row>
    <row r="14" spans="1:40" s="116" customFormat="1" ht="41.25" customHeight="1" x14ac:dyDescent="0.25">
      <c r="A14" s="117">
        <v>3</v>
      </c>
      <c r="B14" s="111" t="s">
        <v>38</v>
      </c>
      <c r="C14" s="112">
        <v>834539.8108049999</v>
      </c>
      <c r="D14" s="112">
        <v>392265.04769199993</v>
      </c>
      <c r="E14" s="112">
        <v>251969.8365</v>
      </c>
      <c r="F14" s="112">
        <v>0</v>
      </c>
      <c r="G14" s="112">
        <v>190304.92661299999</v>
      </c>
      <c r="H14" s="112">
        <v>1663.4486591100492</v>
      </c>
      <c r="I14" s="112">
        <v>410009.80149899999</v>
      </c>
      <c r="J14" s="112">
        <v>347432.594537</v>
      </c>
      <c r="K14" s="112">
        <v>43328.616962</v>
      </c>
      <c r="L14" s="112">
        <v>2748</v>
      </c>
      <c r="M14" s="112">
        <v>16500.59</v>
      </c>
      <c r="N14" s="112">
        <v>844230.59876399999</v>
      </c>
      <c r="O14" s="112">
        <v>440300.86152100004</v>
      </c>
      <c r="P14" s="112">
        <v>269982.63549999997</v>
      </c>
      <c r="Q14" s="112">
        <v>0</v>
      </c>
      <c r="R14" s="112">
        <v>220076.10174300001</v>
      </c>
      <c r="S14" s="112">
        <v>99752.35992751662</v>
      </c>
      <c r="T14" s="112">
        <v>442763.14867499995</v>
      </c>
      <c r="U14" s="112">
        <v>375648.75008600001</v>
      </c>
      <c r="V14" s="112">
        <v>54135.874144999994</v>
      </c>
      <c r="W14" s="112">
        <v>2148</v>
      </c>
      <c r="X14" s="112">
        <v>10830.524444000002</v>
      </c>
      <c r="Y14" s="112">
        <v>1733659.402857</v>
      </c>
      <c r="Z14" s="112">
        <v>702250.01814300008</v>
      </c>
      <c r="AA14" s="112">
        <v>818713.07949999999</v>
      </c>
      <c r="AB14" s="112">
        <v>0</v>
      </c>
      <c r="AC14" s="112">
        <v>340656.90521400003</v>
      </c>
      <c r="AD14" s="112">
        <v>1983.479896491111</v>
      </c>
      <c r="AE14" s="112">
        <v>570019.19534800004</v>
      </c>
      <c r="AF14" s="112">
        <v>465543.808762</v>
      </c>
      <c r="AG14" s="112">
        <v>66435.142086000007</v>
      </c>
      <c r="AH14" s="112">
        <v>9815</v>
      </c>
      <c r="AI14" s="112">
        <v>28225.244499999997</v>
      </c>
      <c r="AJ14" s="112"/>
      <c r="AK14" s="113"/>
      <c r="AL14" s="113"/>
      <c r="AM14" s="113"/>
      <c r="AN14" s="115"/>
    </row>
    <row r="15" spans="1:40" s="116" customFormat="1" ht="56.25" customHeight="1" x14ac:dyDescent="0.25">
      <c r="A15" s="117">
        <v>4</v>
      </c>
      <c r="B15" s="111" t="s">
        <v>216</v>
      </c>
      <c r="C15" s="112">
        <v>65673.446326999998</v>
      </c>
      <c r="D15" s="112">
        <v>37433.314324999999</v>
      </c>
      <c r="E15" s="112">
        <v>10157.099999999999</v>
      </c>
      <c r="F15" s="112">
        <v>0</v>
      </c>
      <c r="G15" s="112">
        <v>18083.032002</v>
      </c>
      <c r="H15" s="112">
        <v>560.52898725783132</v>
      </c>
      <c r="I15" s="112">
        <v>45866.57</v>
      </c>
      <c r="J15" s="112">
        <v>33056.635712000003</v>
      </c>
      <c r="K15" s="112">
        <v>6664.5432880000008</v>
      </c>
      <c r="L15" s="112">
        <v>250</v>
      </c>
      <c r="M15" s="112">
        <v>5895.3909999999996</v>
      </c>
      <c r="N15" s="112">
        <v>76570.262556000001</v>
      </c>
      <c r="O15" s="112">
        <v>45140.792954000004</v>
      </c>
      <c r="P15" s="112">
        <v>11421.1</v>
      </c>
      <c r="Q15" s="112">
        <v>0</v>
      </c>
      <c r="R15" s="112">
        <v>20008.369601999999</v>
      </c>
      <c r="S15" s="112">
        <v>709.78177594939768</v>
      </c>
      <c r="T15" s="112">
        <v>54850.318222000002</v>
      </c>
      <c r="U15" s="112">
        <v>38193.322815</v>
      </c>
      <c r="V15" s="112">
        <v>9644.2532069999997</v>
      </c>
      <c r="W15" s="112">
        <v>360</v>
      </c>
      <c r="X15" s="112">
        <v>6652.7422000000006</v>
      </c>
      <c r="Y15" s="112">
        <v>298450.03472699999</v>
      </c>
      <c r="Z15" s="112">
        <v>125925.66813899999</v>
      </c>
      <c r="AA15" s="112">
        <v>137777.29499999998</v>
      </c>
      <c r="AB15" s="112">
        <v>0</v>
      </c>
      <c r="AC15" s="112">
        <v>34747.071587999999</v>
      </c>
      <c r="AD15" s="112">
        <v>776.30736574370712</v>
      </c>
      <c r="AE15" s="112">
        <v>65671.252999999997</v>
      </c>
      <c r="AF15" s="112">
        <v>43928.058829999994</v>
      </c>
      <c r="AG15" s="112">
        <v>12460.10317</v>
      </c>
      <c r="AH15" s="112">
        <v>1450</v>
      </c>
      <c r="AI15" s="112">
        <v>7833.0910000000003</v>
      </c>
      <c r="AJ15" s="112"/>
      <c r="AK15" s="113"/>
      <c r="AL15" s="113"/>
      <c r="AM15" s="113"/>
      <c r="AN15" s="115"/>
    </row>
    <row r="16" spans="1:40" s="116" customFormat="1" ht="56.25" customHeight="1" x14ac:dyDescent="0.25">
      <c r="A16" s="117">
        <v>5</v>
      </c>
      <c r="B16" s="111" t="s">
        <v>217</v>
      </c>
      <c r="C16" s="112">
        <v>872.8</v>
      </c>
      <c r="D16" s="112">
        <v>375.3</v>
      </c>
      <c r="E16" s="112">
        <v>0</v>
      </c>
      <c r="F16" s="112">
        <v>0</v>
      </c>
      <c r="G16" s="112">
        <v>497.5</v>
      </c>
      <c r="H16" s="112">
        <v>92.424999999999997</v>
      </c>
      <c r="I16" s="112">
        <v>1286.0999999999999</v>
      </c>
      <c r="J16" s="112">
        <v>369.7</v>
      </c>
      <c r="K16" s="112">
        <v>50.8</v>
      </c>
      <c r="L16" s="112">
        <v>0</v>
      </c>
      <c r="M16" s="112">
        <v>865.6</v>
      </c>
      <c r="N16" s="112">
        <v>902.7</v>
      </c>
      <c r="O16" s="112">
        <v>375.3</v>
      </c>
      <c r="P16" s="112">
        <v>0</v>
      </c>
      <c r="Q16" s="112">
        <v>0</v>
      </c>
      <c r="R16" s="112">
        <v>527.4</v>
      </c>
      <c r="S16" s="112">
        <v>96.45</v>
      </c>
      <c r="T16" s="112">
        <v>2385.1999999999998</v>
      </c>
      <c r="U16" s="112">
        <v>385.8</v>
      </c>
      <c r="V16" s="112">
        <v>163.6</v>
      </c>
      <c r="W16" s="112">
        <v>0</v>
      </c>
      <c r="X16" s="112">
        <v>1835.8</v>
      </c>
      <c r="Y16" s="112">
        <v>1282.4000000000001</v>
      </c>
      <c r="Z16" s="112">
        <v>375.3</v>
      </c>
      <c r="AA16" s="112">
        <v>0</v>
      </c>
      <c r="AB16" s="112">
        <v>0</v>
      </c>
      <c r="AC16" s="112">
        <v>907.1</v>
      </c>
      <c r="AD16" s="112">
        <v>209.24285714285713</v>
      </c>
      <c r="AE16" s="112">
        <v>12610.5</v>
      </c>
      <c r="AF16" s="112">
        <v>4145.6000000000004</v>
      </c>
      <c r="AG16" s="112">
        <v>693.9</v>
      </c>
      <c r="AH16" s="112">
        <v>1009</v>
      </c>
      <c r="AI16" s="112">
        <v>6762</v>
      </c>
      <c r="AJ16" s="112"/>
      <c r="AK16" s="113"/>
      <c r="AL16" s="113"/>
      <c r="AM16" s="113"/>
      <c r="AN16" s="115"/>
    </row>
    <row r="17" spans="1:40" s="2" customFormat="1" ht="56.25" customHeight="1" x14ac:dyDescent="0.2">
      <c r="A17" s="92" t="s">
        <v>13</v>
      </c>
      <c r="B17" s="83" t="s">
        <v>33</v>
      </c>
      <c r="C17" s="93">
        <v>104821.22874999999</v>
      </c>
      <c r="D17" s="93">
        <v>50593.553</v>
      </c>
      <c r="E17" s="93">
        <v>35627.534999999996</v>
      </c>
      <c r="F17" s="93">
        <v>1480.9</v>
      </c>
      <c r="G17" s="93">
        <v>17119.240750000001</v>
      </c>
      <c r="H17" s="93">
        <v>343.06130873863634</v>
      </c>
      <c r="I17" s="93">
        <v>9074.3350000000009</v>
      </c>
      <c r="J17" s="93">
        <v>6473.866</v>
      </c>
      <c r="K17" s="93">
        <v>2009.4690000000001</v>
      </c>
      <c r="L17" s="93">
        <v>0</v>
      </c>
      <c r="M17" s="93">
        <v>591</v>
      </c>
      <c r="N17" s="93">
        <v>205035.39556</v>
      </c>
      <c r="O17" s="93">
        <v>57036.388129999999</v>
      </c>
      <c r="P17" s="93">
        <v>113162.08500000001</v>
      </c>
      <c r="Q17" s="93">
        <v>1480.9</v>
      </c>
      <c r="R17" s="93">
        <v>33356.022429999997</v>
      </c>
      <c r="S17" s="93">
        <v>771.16952818610423</v>
      </c>
      <c r="T17" s="93">
        <v>22975.301132000001</v>
      </c>
      <c r="U17" s="93">
        <v>15815.634132000001</v>
      </c>
      <c r="V17" s="93">
        <v>2913.2049999999999</v>
      </c>
      <c r="W17" s="93">
        <v>1594.74</v>
      </c>
      <c r="X17" s="93">
        <v>2515.7220000000002</v>
      </c>
      <c r="Y17" s="93">
        <v>292918.38517600001</v>
      </c>
      <c r="Z17" s="93">
        <v>78752.258925999995</v>
      </c>
      <c r="AA17" s="93">
        <v>180145.95</v>
      </c>
      <c r="AB17" s="93">
        <v>1559.9</v>
      </c>
      <c r="AC17" s="93">
        <v>32460.276249999999</v>
      </c>
      <c r="AD17" s="93">
        <v>934.20606515517238</v>
      </c>
      <c r="AE17" s="93">
        <v>32602.031999999999</v>
      </c>
      <c r="AF17" s="93">
        <v>20717.030999999999</v>
      </c>
      <c r="AG17" s="93">
        <v>2923.3510000000001</v>
      </c>
      <c r="AH17" s="93">
        <v>4549.4430000000002</v>
      </c>
      <c r="AI17" s="93">
        <v>3687.2069999999999</v>
      </c>
      <c r="AJ17" s="93"/>
    </row>
    <row r="18" spans="1:40" s="116" customFormat="1" x14ac:dyDescent="0.25">
      <c r="A18" s="117">
        <v>1</v>
      </c>
      <c r="B18" s="111" t="s">
        <v>218</v>
      </c>
      <c r="C18" s="112">
        <v>104821.22874999999</v>
      </c>
      <c r="D18" s="112">
        <v>50593.553</v>
      </c>
      <c r="E18" s="112">
        <v>35627.534999999996</v>
      </c>
      <c r="F18" s="112">
        <v>1480.9</v>
      </c>
      <c r="G18" s="112">
        <v>17119.240750000001</v>
      </c>
      <c r="H18" s="112">
        <v>343.06130873863634</v>
      </c>
      <c r="I18" s="112">
        <v>9074.3350000000009</v>
      </c>
      <c r="J18" s="112">
        <v>6473.866</v>
      </c>
      <c r="K18" s="112">
        <v>2009.4690000000001</v>
      </c>
      <c r="L18" s="112">
        <v>0</v>
      </c>
      <c r="M18" s="112">
        <v>591</v>
      </c>
      <c r="N18" s="112">
        <v>205035.39556</v>
      </c>
      <c r="O18" s="112">
        <v>57036.388129999999</v>
      </c>
      <c r="P18" s="112">
        <v>113162.08500000001</v>
      </c>
      <c r="Q18" s="112">
        <v>1480.9</v>
      </c>
      <c r="R18" s="112">
        <v>33356.022429999997</v>
      </c>
      <c r="S18" s="112">
        <v>771.16952818610423</v>
      </c>
      <c r="T18" s="112">
        <v>22975.301132000001</v>
      </c>
      <c r="U18" s="112">
        <v>15815.634132000001</v>
      </c>
      <c r="V18" s="112">
        <v>2913.2049999999999</v>
      </c>
      <c r="W18" s="112">
        <v>1594.74</v>
      </c>
      <c r="X18" s="112">
        <v>2515.7220000000002</v>
      </c>
      <c r="Y18" s="112">
        <v>292918.38517600001</v>
      </c>
      <c r="Z18" s="112">
        <v>78752.258925999995</v>
      </c>
      <c r="AA18" s="112">
        <v>180145.95</v>
      </c>
      <c r="AB18" s="112">
        <v>1559.9</v>
      </c>
      <c r="AC18" s="112">
        <v>32460.276249999999</v>
      </c>
      <c r="AD18" s="112">
        <v>934.20606515517238</v>
      </c>
      <c r="AE18" s="112">
        <v>32602.031999999999</v>
      </c>
      <c r="AF18" s="112">
        <v>20717.030999999999</v>
      </c>
      <c r="AG18" s="112">
        <v>2923.3510000000001</v>
      </c>
      <c r="AH18" s="112">
        <v>4549.4430000000002</v>
      </c>
      <c r="AI18" s="112">
        <v>3687.2069999999999</v>
      </c>
      <c r="AJ18" s="118"/>
      <c r="AK18" s="113"/>
      <c r="AL18" s="113"/>
      <c r="AM18" s="113"/>
      <c r="AN18" s="115"/>
    </row>
    <row r="19" spans="1:40" s="122" customFormat="1" ht="23.25" customHeight="1" x14ac:dyDescent="0.2">
      <c r="A19" s="119" t="s">
        <v>13</v>
      </c>
      <c r="B19" s="120" t="s">
        <v>80</v>
      </c>
      <c r="C19" s="121">
        <v>43333.830999999998</v>
      </c>
      <c r="D19" s="121">
        <v>11550.564</v>
      </c>
      <c r="E19" s="121">
        <v>3888.7</v>
      </c>
      <c r="F19" s="121">
        <v>430.67700000000002</v>
      </c>
      <c r="G19" s="121">
        <v>27463.89</v>
      </c>
      <c r="H19" s="121">
        <v>449.40874780952379</v>
      </c>
      <c r="I19" s="121">
        <v>8736.095507</v>
      </c>
      <c r="J19" s="121">
        <v>4916.3945679999997</v>
      </c>
      <c r="K19" s="121">
        <v>1779.7009389999998</v>
      </c>
      <c r="L19" s="121">
        <v>0</v>
      </c>
      <c r="M19" s="121">
        <v>2040</v>
      </c>
      <c r="N19" s="121">
        <v>57377.986000000004</v>
      </c>
      <c r="O19" s="121">
        <v>11892.538999999999</v>
      </c>
      <c r="P19" s="121">
        <v>4413.3499999999995</v>
      </c>
      <c r="Q19" s="121">
        <v>430.67700000000002</v>
      </c>
      <c r="R19" s="121">
        <v>40641.42</v>
      </c>
      <c r="S19" s="121">
        <v>395.07365079365076</v>
      </c>
      <c r="T19" s="121">
        <v>11122.56</v>
      </c>
      <c r="U19" s="121">
        <v>5197.5599999999995</v>
      </c>
      <c r="V19" s="121">
        <v>1997</v>
      </c>
      <c r="W19" s="121">
        <v>0</v>
      </c>
      <c r="X19" s="121">
        <v>3911</v>
      </c>
      <c r="Y19" s="121">
        <v>654.92700000000002</v>
      </c>
      <c r="Z19" s="121">
        <v>0</v>
      </c>
      <c r="AA19" s="121">
        <v>0</v>
      </c>
      <c r="AB19" s="121">
        <v>430.67700000000002</v>
      </c>
      <c r="AC19" s="121">
        <v>224.25</v>
      </c>
      <c r="AD19" s="121">
        <v>6.947916666666667</v>
      </c>
      <c r="AE19" s="121">
        <v>1440</v>
      </c>
      <c r="AF19" s="121">
        <v>667</v>
      </c>
      <c r="AG19" s="121">
        <v>131</v>
      </c>
      <c r="AH19" s="121">
        <v>0</v>
      </c>
      <c r="AI19" s="121">
        <v>642</v>
      </c>
      <c r="AJ19" s="121"/>
    </row>
    <row r="20" spans="1:40" s="116" customFormat="1" ht="36" customHeight="1" x14ac:dyDescent="0.25">
      <c r="A20" s="117">
        <v>1</v>
      </c>
      <c r="B20" s="111" t="s">
        <v>219</v>
      </c>
      <c r="C20" s="112">
        <v>43333.830999999998</v>
      </c>
      <c r="D20" s="112">
        <v>11550.564</v>
      </c>
      <c r="E20" s="112">
        <v>3888.7</v>
      </c>
      <c r="F20" s="112">
        <v>430.67700000000002</v>
      </c>
      <c r="G20" s="112">
        <v>27463.89</v>
      </c>
      <c r="H20" s="112">
        <v>449.40874780952379</v>
      </c>
      <c r="I20" s="112">
        <v>8736.095507</v>
      </c>
      <c r="J20" s="112">
        <v>4916.3945679999997</v>
      </c>
      <c r="K20" s="112">
        <v>1779.7009389999998</v>
      </c>
      <c r="L20" s="112">
        <v>0</v>
      </c>
      <c r="M20" s="112">
        <v>2040</v>
      </c>
      <c r="N20" s="112">
        <v>57377.986000000004</v>
      </c>
      <c r="O20" s="112">
        <v>11892.538999999999</v>
      </c>
      <c r="P20" s="112">
        <v>4413.3499999999995</v>
      </c>
      <c r="Q20" s="112">
        <v>430.67700000000002</v>
      </c>
      <c r="R20" s="112">
        <v>40641.42</v>
      </c>
      <c r="S20" s="112">
        <v>482.29587301587304</v>
      </c>
      <c r="T20" s="112">
        <v>11122.56</v>
      </c>
      <c r="U20" s="112">
        <v>5197.5599999999995</v>
      </c>
      <c r="V20" s="112">
        <v>1997</v>
      </c>
      <c r="W20" s="112">
        <v>0</v>
      </c>
      <c r="X20" s="112">
        <v>3911</v>
      </c>
      <c r="Y20" s="112">
        <v>654.92700000000002</v>
      </c>
      <c r="Z20" s="112">
        <v>0</v>
      </c>
      <c r="AA20" s="112">
        <v>0</v>
      </c>
      <c r="AB20" s="112">
        <v>430.67700000000002</v>
      </c>
      <c r="AC20" s="112">
        <v>224.25</v>
      </c>
      <c r="AD20" s="112">
        <v>6.947916666666667</v>
      </c>
      <c r="AE20" s="112">
        <v>1440</v>
      </c>
      <c r="AF20" s="112">
        <v>667</v>
      </c>
      <c r="AG20" s="112">
        <v>131</v>
      </c>
      <c r="AH20" s="112">
        <v>0</v>
      </c>
      <c r="AI20" s="112">
        <v>642</v>
      </c>
      <c r="AJ20" s="118"/>
      <c r="AK20" s="113"/>
      <c r="AL20" s="113"/>
      <c r="AM20" s="113"/>
      <c r="AN20" s="115"/>
    </row>
    <row r="21" spans="1:40" s="2" customFormat="1" ht="23.25" customHeight="1" x14ac:dyDescent="0.2">
      <c r="A21" s="92" t="s">
        <v>31</v>
      </c>
      <c r="B21" s="83" t="s">
        <v>220</v>
      </c>
      <c r="C21" s="93">
        <v>448495.11167430005</v>
      </c>
      <c r="D21" s="93">
        <v>100244.868882</v>
      </c>
      <c r="E21" s="93">
        <v>314407.38000000006</v>
      </c>
      <c r="F21" s="93">
        <v>4607.6455999999998</v>
      </c>
      <c r="G21" s="93">
        <v>29235.217192300002</v>
      </c>
      <c r="H21" s="93">
        <v>562.40992333333338</v>
      </c>
      <c r="I21" s="93">
        <v>23566.683399999998</v>
      </c>
      <c r="J21" s="93">
        <v>9927.7808999999997</v>
      </c>
      <c r="K21" s="93">
        <v>6659.9094999999998</v>
      </c>
      <c r="L21" s="93">
        <v>643</v>
      </c>
      <c r="M21" s="93">
        <v>6335.9930000000004</v>
      </c>
      <c r="N21" s="93">
        <v>486229.73652200005</v>
      </c>
      <c r="O21" s="93">
        <v>118424.618882</v>
      </c>
      <c r="P21" s="93">
        <v>321373.43</v>
      </c>
      <c r="Q21" s="93">
        <v>6033.0455999999995</v>
      </c>
      <c r="R21" s="93">
        <v>40398.642039999999</v>
      </c>
      <c r="S21" s="93">
        <v>588.9965778699725</v>
      </c>
      <c r="T21" s="93">
        <v>23423.106236</v>
      </c>
      <c r="U21" s="93">
        <v>9254.1382359999989</v>
      </c>
      <c r="V21" s="93">
        <v>7447.5680000000002</v>
      </c>
      <c r="W21" s="93">
        <v>0</v>
      </c>
      <c r="X21" s="93">
        <v>5400.4</v>
      </c>
      <c r="Y21" s="93">
        <v>660590.8296820001</v>
      </c>
      <c r="Z21" s="93">
        <v>171060.41388199999</v>
      </c>
      <c r="AA21" s="93">
        <v>366026.05</v>
      </c>
      <c r="AB21" s="93">
        <v>6071.3225999999995</v>
      </c>
      <c r="AC21" s="93">
        <v>117433.0432</v>
      </c>
      <c r="AD21" s="93">
        <v>769.63004679471408</v>
      </c>
      <c r="AE21" s="93">
        <v>46231.14</v>
      </c>
      <c r="AF21" s="93">
        <v>14992.126</v>
      </c>
      <c r="AG21" s="93">
        <v>11091.23</v>
      </c>
      <c r="AH21" s="93">
        <v>1941</v>
      </c>
      <c r="AI21" s="93">
        <v>18206.784</v>
      </c>
      <c r="AJ21" s="93"/>
    </row>
    <row r="22" spans="1:40" ht="77.25" customHeight="1" x14ac:dyDescent="0.25">
      <c r="A22" s="94">
        <v>1</v>
      </c>
      <c r="B22" s="95" t="s">
        <v>221</v>
      </c>
      <c r="C22" s="96">
        <v>444716.11167430005</v>
      </c>
      <c r="D22" s="96">
        <v>97083.868881999995</v>
      </c>
      <c r="E22" s="96">
        <v>314407.38000000006</v>
      </c>
      <c r="F22" s="96">
        <v>4607.6455999999998</v>
      </c>
      <c r="G22" s="96">
        <v>28617.217192300002</v>
      </c>
      <c r="H22" s="96">
        <v>562.40992333333338</v>
      </c>
      <c r="I22" s="96">
        <v>23343.683399999998</v>
      </c>
      <c r="J22" s="96">
        <v>9704.7808999999997</v>
      </c>
      <c r="K22" s="96">
        <v>6659.9094999999998</v>
      </c>
      <c r="L22" s="96">
        <v>643</v>
      </c>
      <c r="M22" s="96">
        <v>6335.9930000000004</v>
      </c>
      <c r="N22" s="96">
        <v>482238.73652200005</v>
      </c>
      <c r="O22" s="96">
        <v>115263.618882</v>
      </c>
      <c r="P22" s="96">
        <v>321373.43</v>
      </c>
      <c r="Q22" s="96">
        <v>6033.0455999999995</v>
      </c>
      <c r="R22" s="96">
        <v>39568.642039999999</v>
      </c>
      <c r="S22" s="96">
        <v>588.9965778699725</v>
      </c>
      <c r="T22" s="96">
        <v>22543.106236</v>
      </c>
      <c r="U22" s="96">
        <v>8887.1382359999989</v>
      </c>
      <c r="V22" s="96">
        <v>6934.5680000000002</v>
      </c>
      <c r="W22" s="96">
        <v>0</v>
      </c>
      <c r="X22" s="96">
        <v>5400.4</v>
      </c>
      <c r="Y22" s="96">
        <v>656714.8296820001</v>
      </c>
      <c r="Z22" s="96">
        <v>167860.41388199999</v>
      </c>
      <c r="AA22" s="96">
        <v>366026.05</v>
      </c>
      <c r="AB22" s="96">
        <v>6071.3225999999995</v>
      </c>
      <c r="AC22" s="96">
        <v>116757.0432</v>
      </c>
      <c r="AD22" s="96">
        <v>769.63004679471408</v>
      </c>
      <c r="AE22" s="96">
        <v>45290.14</v>
      </c>
      <c r="AF22" s="96">
        <v>14640.126</v>
      </c>
      <c r="AG22" s="96">
        <v>10601.23</v>
      </c>
      <c r="AH22" s="96">
        <v>1941</v>
      </c>
      <c r="AI22" s="96">
        <v>18107.784</v>
      </c>
      <c r="AJ22" s="96"/>
      <c r="AK22" s="4"/>
    </row>
    <row r="23" spans="1:40" ht="41.25" customHeight="1" x14ac:dyDescent="0.25">
      <c r="A23" s="94"/>
      <c r="B23" s="95" t="s">
        <v>222</v>
      </c>
      <c r="C23" s="96">
        <v>3779</v>
      </c>
      <c r="D23" s="96">
        <v>3161</v>
      </c>
      <c r="E23" s="96">
        <v>0</v>
      </c>
      <c r="F23" s="96">
        <v>0</v>
      </c>
      <c r="G23" s="96">
        <v>618</v>
      </c>
      <c r="H23" s="96">
        <v>0</v>
      </c>
      <c r="I23" s="96">
        <v>223</v>
      </c>
      <c r="J23" s="96">
        <v>223</v>
      </c>
      <c r="K23" s="96">
        <v>0</v>
      </c>
      <c r="L23" s="96">
        <v>0</v>
      </c>
      <c r="M23" s="96">
        <v>0</v>
      </c>
      <c r="N23" s="96">
        <v>3991</v>
      </c>
      <c r="O23" s="96">
        <v>3161</v>
      </c>
      <c r="P23" s="96">
        <v>0</v>
      </c>
      <c r="Q23" s="96">
        <v>0</v>
      </c>
      <c r="R23" s="96">
        <v>830</v>
      </c>
      <c r="S23" s="96">
        <v>0</v>
      </c>
      <c r="T23" s="96">
        <v>880</v>
      </c>
      <c r="U23" s="96">
        <v>367</v>
      </c>
      <c r="V23" s="96">
        <v>513</v>
      </c>
      <c r="W23" s="96">
        <v>0</v>
      </c>
      <c r="X23" s="96">
        <v>0</v>
      </c>
      <c r="Y23" s="96">
        <v>3876</v>
      </c>
      <c r="Z23" s="96">
        <v>3200</v>
      </c>
      <c r="AA23" s="96">
        <v>0</v>
      </c>
      <c r="AB23" s="96">
        <v>0</v>
      </c>
      <c r="AC23" s="96">
        <v>676</v>
      </c>
      <c r="AD23" s="96">
        <v>0</v>
      </c>
      <c r="AE23" s="96">
        <v>941</v>
      </c>
      <c r="AF23" s="96">
        <v>352</v>
      </c>
      <c r="AG23" s="96">
        <v>490</v>
      </c>
      <c r="AH23" s="96">
        <v>0</v>
      </c>
      <c r="AI23" s="96">
        <v>99</v>
      </c>
      <c r="AJ23" s="96"/>
      <c r="AK23" s="4"/>
    </row>
    <row r="24" spans="1:40" s="2" customFormat="1" ht="23.25" customHeight="1" x14ac:dyDescent="0.2">
      <c r="A24" s="92" t="s">
        <v>31</v>
      </c>
      <c r="B24" s="83" t="s">
        <v>82</v>
      </c>
      <c r="C24" s="93">
        <v>335489.43400000001</v>
      </c>
      <c r="D24" s="93">
        <v>67606.849000000002</v>
      </c>
      <c r="E24" s="93">
        <v>40617.42</v>
      </c>
      <c r="F24" s="93">
        <v>35073.898000000001</v>
      </c>
      <c r="G24" s="93">
        <v>192190.26699999999</v>
      </c>
      <c r="H24" s="93">
        <v>2221.9620211542529</v>
      </c>
      <c r="I24" s="93">
        <v>4472917.2815362997</v>
      </c>
      <c r="J24" s="93">
        <v>55893.809368000002</v>
      </c>
      <c r="K24" s="93">
        <v>41005.261824000001</v>
      </c>
      <c r="L24" s="93">
        <v>105465.00399999999</v>
      </c>
      <c r="M24" s="93">
        <v>55267.777999999998</v>
      </c>
      <c r="N24" s="93">
        <v>558972.89358799998</v>
      </c>
      <c r="O24" s="93">
        <v>401001.01770500001</v>
      </c>
      <c r="P24" s="93">
        <v>45535.282500000001</v>
      </c>
      <c r="Q24" s="93">
        <v>46246.255286</v>
      </c>
      <c r="R24" s="93">
        <v>56903.538096999997</v>
      </c>
      <c r="S24" s="93">
        <v>3014.5047403713779</v>
      </c>
      <c r="T24" s="93">
        <v>522278.22322300001</v>
      </c>
      <c r="U24" s="93">
        <v>60383.220738000004</v>
      </c>
      <c r="V24" s="93">
        <v>52332.726485000007</v>
      </c>
      <c r="W24" s="93">
        <v>345629.049</v>
      </c>
      <c r="X24" s="93">
        <v>63933.227000000006</v>
      </c>
      <c r="Y24" s="93">
        <v>567667.63199999998</v>
      </c>
      <c r="Z24" s="93">
        <v>307850.23600000003</v>
      </c>
      <c r="AA24" s="93">
        <v>112771.89199999999</v>
      </c>
      <c r="AB24" s="93">
        <v>48278.115999999995</v>
      </c>
      <c r="AC24" s="93">
        <v>90353.388000000021</v>
      </c>
      <c r="AD24" s="93">
        <v>2503.3413376430767</v>
      </c>
      <c r="AE24" s="93">
        <v>1272130.632</v>
      </c>
      <c r="AF24" s="93">
        <v>52125.198999999993</v>
      </c>
      <c r="AG24" s="93">
        <v>62991.210999999996</v>
      </c>
      <c r="AH24" s="93">
        <v>1033674.4850000001</v>
      </c>
      <c r="AI24" s="93">
        <v>136719.462</v>
      </c>
      <c r="AJ24" s="93"/>
    </row>
    <row r="25" spans="1:40" ht="63.75" customHeight="1" x14ac:dyDescent="0.25">
      <c r="A25" s="94">
        <v>1</v>
      </c>
      <c r="B25" s="95" t="s">
        <v>223</v>
      </c>
      <c r="C25" s="96">
        <v>12483.034</v>
      </c>
      <c r="D25" s="96">
        <v>7747.0860000000002</v>
      </c>
      <c r="E25" s="96">
        <v>2171.3999999999996</v>
      </c>
      <c r="F25" s="96">
        <v>0</v>
      </c>
      <c r="G25" s="96">
        <v>2564.5479999999998</v>
      </c>
      <c r="H25" s="96">
        <v>630.45079333333331</v>
      </c>
      <c r="I25" s="96">
        <v>23531.133000000002</v>
      </c>
      <c r="J25" s="96">
        <v>9963.5358999999989</v>
      </c>
      <c r="K25" s="96">
        <v>10023.218161999999</v>
      </c>
      <c r="L25" s="96">
        <v>5994</v>
      </c>
      <c r="M25" s="96">
        <v>6366.3360000000002</v>
      </c>
      <c r="N25" s="96">
        <v>21746.188724</v>
      </c>
      <c r="O25" s="96">
        <v>10828.848180999999</v>
      </c>
      <c r="P25" s="96">
        <v>2818.1025</v>
      </c>
      <c r="Q25" s="96">
        <v>96</v>
      </c>
      <c r="R25" s="96">
        <v>8003.4380430000001</v>
      </c>
      <c r="S25" s="96">
        <v>681.03142213799549</v>
      </c>
      <c r="T25" s="96">
        <v>32744.674647</v>
      </c>
      <c r="U25" s="96">
        <v>10875.173402</v>
      </c>
      <c r="V25" s="96">
        <v>12171.155244999998</v>
      </c>
      <c r="W25" s="96">
        <v>3231</v>
      </c>
      <c r="X25" s="96">
        <v>6467.3459999999995</v>
      </c>
      <c r="Y25" s="96">
        <v>24773.122000000003</v>
      </c>
      <c r="Z25" s="96">
        <v>10110.111000000001</v>
      </c>
      <c r="AA25" s="96">
        <v>11541.498</v>
      </c>
      <c r="AB25" s="96">
        <v>0</v>
      </c>
      <c r="AC25" s="96">
        <v>3754.5129999999999</v>
      </c>
      <c r="AD25" s="96">
        <v>662.67350301920305</v>
      </c>
      <c r="AE25" s="96">
        <v>30866.419000000002</v>
      </c>
      <c r="AF25" s="96">
        <v>10138.262000000001</v>
      </c>
      <c r="AG25" s="96">
        <v>9434.2479999999996</v>
      </c>
      <c r="AH25" s="96">
        <v>2390</v>
      </c>
      <c r="AI25" s="96">
        <v>8903.9089999999997</v>
      </c>
      <c r="AJ25" s="96"/>
      <c r="AK25" s="97"/>
    </row>
    <row r="26" spans="1:40" ht="63.75" customHeight="1" x14ac:dyDescent="0.25">
      <c r="A26" s="94"/>
      <c r="B26" s="95" t="s">
        <v>224</v>
      </c>
      <c r="C26" s="96">
        <v>14597.034</v>
      </c>
      <c r="D26" s="96">
        <v>8646.0859999999993</v>
      </c>
      <c r="E26" s="96">
        <v>2171.3999999999996</v>
      </c>
      <c r="F26" s="96">
        <v>0</v>
      </c>
      <c r="G26" s="96">
        <v>3779.5479999999998</v>
      </c>
      <c r="H26" s="96">
        <v>695.45079333333331</v>
      </c>
      <c r="I26" s="96">
        <v>25525.133000000002</v>
      </c>
      <c r="J26" s="96">
        <v>10744.535899999999</v>
      </c>
      <c r="K26" s="96">
        <v>11236.218161999999</v>
      </c>
      <c r="L26" s="96">
        <v>5994</v>
      </c>
      <c r="M26" s="96">
        <v>6366.3360000000002</v>
      </c>
      <c r="N26" s="96">
        <v>24347.188724000003</v>
      </c>
      <c r="O26" s="96">
        <v>11970.848180999999</v>
      </c>
      <c r="P26" s="96">
        <v>2818.1025</v>
      </c>
      <c r="Q26" s="96">
        <v>96</v>
      </c>
      <c r="R26" s="96">
        <v>9462.4380430000019</v>
      </c>
      <c r="S26" s="96">
        <v>753.03142213799549</v>
      </c>
      <c r="T26" s="96">
        <v>35093.674647</v>
      </c>
      <c r="U26" s="96">
        <v>11742.173402</v>
      </c>
      <c r="V26" s="96">
        <v>13653.155244999998</v>
      </c>
      <c r="W26" s="96">
        <v>3231</v>
      </c>
      <c r="X26" s="96">
        <v>6467.3459999999995</v>
      </c>
      <c r="Y26" s="96">
        <v>28605.121999999999</v>
      </c>
      <c r="Z26" s="96">
        <v>11751.111000000001</v>
      </c>
      <c r="AA26" s="96">
        <v>11541.498</v>
      </c>
      <c r="AB26" s="96">
        <v>0</v>
      </c>
      <c r="AC26" s="96">
        <v>5945.5129999999999</v>
      </c>
      <c r="AD26" s="96">
        <v>765.67350301920305</v>
      </c>
      <c r="AE26" s="96">
        <v>32951.419000000002</v>
      </c>
      <c r="AF26" s="96">
        <v>11273.262000000001</v>
      </c>
      <c r="AG26" s="96">
        <v>10384.248</v>
      </c>
      <c r="AH26" s="96">
        <v>2390</v>
      </c>
      <c r="AI26" s="96">
        <v>8903.9089999999997</v>
      </c>
      <c r="AJ26" s="96"/>
      <c r="AK26" s="4"/>
    </row>
    <row r="27" spans="1:40" ht="63.75" customHeight="1" x14ac:dyDescent="0.25">
      <c r="A27" s="94">
        <v>2</v>
      </c>
      <c r="B27" s="95" t="s">
        <v>225</v>
      </c>
      <c r="C27" s="96">
        <v>347778.4</v>
      </c>
      <c r="D27" s="96">
        <v>62927.763000000006</v>
      </c>
      <c r="E27" s="96">
        <v>68702.02</v>
      </c>
      <c r="F27" s="96">
        <v>28405.898000000001</v>
      </c>
      <c r="G27" s="96">
        <v>187741.71899999998</v>
      </c>
      <c r="H27" s="96">
        <v>1698.5128088485883</v>
      </c>
      <c r="I27" s="96">
        <v>4472917.2815362997</v>
      </c>
      <c r="J27" s="96">
        <v>52109.273467999999</v>
      </c>
      <c r="K27" s="96">
        <v>26620.043662000004</v>
      </c>
      <c r="L27" s="96">
        <v>197625.00400000002</v>
      </c>
      <c r="M27" s="96">
        <v>51805.442000000003</v>
      </c>
      <c r="N27" s="96">
        <v>534237.70486399997</v>
      </c>
      <c r="O27" s="96">
        <v>399711.16952400003</v>
      </c>
      <c r="P27" s="96">
        <v>53796.18</v>
      </c>
      <c r="Q27" s="96">
        <v>34688.255286</v>
      </c>
      <c r="R27" s="96">
        <v>46042.100053999995</v>
      </c>
      <c r="S27" s="96">
        <v>1749.0395064311499</v>
      </c>
      <c r="T27" s="96">
        <v>481225.54857599997</v>
      </c>
      <c r="U27" s="96">
        <v>50067.047336000003</v>
      </c>
      <c r="V27" s="96">
        <v>30529.571240000001</v>
      </c>
      <c r="W27" s="96">
        <v>342398.049</v>
      </c>
      <c r="X27" s="96">
        <v>58230.881000000001</v>
      </c>
      <c r="Y27" s="96">
        <v>589744.51</v>
      </c>
      <c r="Z27" s="96">
        <v>360455.125</v>
      </c>
      <c r="AA27" s="96">
        <v>111114.394</v>
      </c>
      <c r="AB27" s="96">
        <v>38269.115999999995</v>
      </c>
      <c r="AC27" s="96">
        <v>79905.875000000015</v>
      </c>
      <c r="AD27" s="96">
        <v>1833.8878346238741</v>
      </c>
      <c r="AE27" s="96">
        <v>1238516.213</v>
      </c>
      <c r="AF27" s="96" t="e">
        <v>#VALUE!</v>
      </c>
      <c r="AG27" s="96">
        <v>44953.963000000003</v>
      </c>
      <c r="AH27" s="96">
        <v>1031284.4850000001</v>
      </c>
      <c r="AI27" s="96">
        <v>129694.55299999999</v>
      </c>
      <c r="AJ27" s="96"/>
      <c r="AK27" s="4"/>
    </row>
    <row r="28" spans="1:40" ht="63.75" customHeight="1" x14ac:dyDescent="0.25">
      <c r="A28" s="98"/>
      <c r="B28" s="95" t="s">
        <v>226</v>
      </c>
      <c r="C28" s="96">
        <v>58738.861000000004</v>
      </c>
      <c r="D28" s="96">
        <v>5751.57</v>
      </c>
      <c r="E28" s="96">
        <v>14928.69</v>
      </c>
      <c r="F28" s="96">
        <v>30893.166000000001</v>
      </c>
      <c r="G28" s="96">
        <v>7165.4350000000004</v>
      </c>
      <c r="H28" s="96">
        <v>589.86492691622095</v>
      </c>
      <c r="I28" s="96">
        <v>251921.753</v>
      </c>
      <c r="J28" s="96">
        <v>13541.128000000001</v>
      </c>
      <c r="K28" s="96">
        <v>20734.879000000001</v>
      </c>
      <c r="L28" s="96">
        <v>184816.304</v>
      </c>
      <c r="M28" s="96">
        <v>32829.442000000003</v>
      </c>
      <c r="N28" s="96">
        <v>263289.38169200002</v>
      </c>
      <c r="O28" s="96">
        <v>176627.90250900001</v>
      </c>
      <c r="P28" s="96">
        <v>17102.689999999999</v>
      </c>
      <c r="Q28" s="96">
        <v>42776.485285999996</v>
      </c>
      <c r="R28" s="96">
        <v>26782.303897000002</v>
      </c>
      <c r="S28" s="96">
        <v>571.4466666666666</v>
      </c>
      <c r="T28" s="96">
        <v>408181.14199999999</v>
      </c>
      <c r="U28" s="96">
        <v>16938</v>
      </c>
      <c r="V28" s="96">
        <v>27951.612000000001</v>
      </c>
      <c r="W28" s="96">
        <v>316345.74900000001</v>
      </c>
      <c r="X28" s="96">
        <v>46945.781000000003</v>
      </c>
      <c r="Y28" s="96">
        <v>242674.93000000002</v>
      </c>
      <c r="Z28" s="96">
        <v>73934.600000000006</v>
      </c>
      <c r="AA28" s="96">
        <v>63280.563999999998</v>
      </c>
      <c r="AB28" s="96">
        <v>44143.165999999997</v>
      </c>
      <c r="AC28" s="96">
        <v>61316.6</v>
      </c>
      <c r="AD28" s="96">
        <v>678.40818548387097</v>
      </c>
      <c r="AE28" s="96">
        <v>1021095.694</v>
      </c>
      <c r="AF28" s="96">
        <v>13208.716</v>
      </c>
      <c r="AG28" s="96">
        <v>42430.455000000002</v>
      </c>
      <c r="AH28" s="96">
        <v>882744.68500000006</v>
      </c>
      <c r="AI28" s="96">
        <v>99848.563000000009</v>
      </c>
      <c r="AJ28" s="96"/>
      <c r="AK28" s="4"/>
    </row>
    <row r="29" spans="1:40" ht="63.75" customHeight="1" x14ac:dyDescent="0.25">
      <c r="A29" s="98"/>
      <c r="B29" s="95" t="s">
        <v>227</v>
      </c>
      <c r="C29" s="96">
        <v>11195.499</v>
      </c>
      <c r="D29" s="96">
        <v>5763</v>
      </c>
      <c r="E29" s="96">
        <v>3835.96</v>
      </c>
      <c r="F29" s="96">
        <v>0</v>
      </c>
      <c r="G29" s="96">
        <v>1596.539</v>
      </c>
      <c r="H29" s="96">
        <v>210.55323333333334</v>
      </c>
      <c r="I29" s="96">
        <v>5614</v>
      </c>
      <c r="J29" s="96">
        <v>526</v>
      </c>
      <c r="K29" s="96">
        <v>54</v>
      </c>
      <c r="L29" s="96">
        <v>1281</v>
      </c>
      <c r="M29" s="96">
        <v>3753</v>
      </c>
      <c r="N29" s="96">
        <v>12581.499</v>
      </c>
      <c r="O29" s="96">
        <v>7866</v>
      </c>
      <c r="P29" s="96">
        <v>3385.96</v>
      </c>
      <c r="Q29" s="96">
        <v>0</v>
      </c>
      <c r="R29" s="96">
        <v>1329.539</v>
      </c>
      <c r="S29" s="96">
        <v>315.12813</v>
      </c>
      <c r="T29" s="96">
        <v>21906.417000000001</v>
      </c>
      <c r="U29" s="96">
        <v>1011.4169999999999</v>
      </c>
      <c r="V29" s="96">
        <v>122</v>
      </c>
      <c r="W29" s="96">
        <v>20746</v>
      </c>
      <c r="X29" s="96">
        <v>27</v>
      </c>
      <c r="Y29" s="96">
        <v>8456</v>
      </c>
      <c r="Z29" s="96">
        <v>5568</v>
      </c>
      <c r="AA29" s="96">
        <v>1850</v>
      </c>
      <c r="AB29" s="96">
        <v>0</v>
      </c>
      <c r="AC29" s="96">
        <v>1038</v>
      </c>
      <c r="AD29" s="96">
        <v>169.01229000000001</v>
      </c>
      <c r="AE29" s="96">
        <v>4671</v>
      </c>
      <c r="AF29" s="96">
        <v>7350</v>
      </c>
      <c r="AG29" s="96"/>
      <c r="AH29" s="96"/>
      <c r="AI29" s="96">
        <v>11265</v>
      </c>
      <c r="AJ29" s="96"/>
      <c r="AK29" s="4"/>
    </row>
    <row r="30" spans="1:40" ht="63.75" customHeight="1" x14ac:dyDescent="0.25">
      <c r="A30" s="94"/>
      <c r="B30" s="95" t="s">
        <v>228</v>
      </c>
      <c r="C30" s="96">
        <v>77819.5</v>
      </c>
      <c r="D30" s="96">
        <v>33403</v>
      </c>
      <c r="E30" s="96">
        <v>42173.5</v>
      </c>
      <c r="F30" s="96">
        <v>89</v>
      </c>
      <c r="G30" s="96">
        <v>2154</v>
      </c>
      <c r="H30" s="96">
        <v>45</v>
      </c>
      <c r="I30" s="96">
        <v>8457</v>
      </c>
      <c r="J30" s="96">
        <v>4855</v>
      </c>
      <c r="K30" s="96">
        <v>2300</v>
      </c>
      <c r="L30" s="96">
        <v>61</v>
      </c>
      <c r="M30" s="96">
        <v>1241</v>
      </c>
      <c r="N30" s="96">
        <v>60448.5</v>
      </c>
      <c r="O30" s="96">
        <v>34269</v>
      </c>
      <c r="P30" s="96">
        <v>23289.200000000001</v>
      </c>
      <c r="Q30" s="96">
        <v>159</v>
      </c>
      <c r="R30" s="96">
        <v>2731.3</v>
      </c>
      <c r="S30" s="96">
        <v>49</v>
      </c>
      <c r="T30" s="96">
        <v>863</v>
      </c>
      <c r="U30" s="96">
        <v>550</v>
      </c>
      <c r="V30" s="96">
        <v>168</v>
      </c>
      <c r="W30" s="96">
        <v>0</v>
      </c>
      <c r="X30" s="96">
        <v>145</v>
      </c>
      <c r="Y30" s="96">
        <v>121113.26</v>
      </c>
      <c r="Z30" s="96">
        <v>86899</v>
      </c>
      <c r="AA30" s="96">
        <v>29893.599999999999</v>
      </c>
      <c r="AB30" s="96">
        <v>159</v>
      </c>
      <c r="AC30" s="96">
        <v>4161.66</v>
      </c>
      <c r="AD30" s="96">
        <v>61</v>
      </c>
      <c r="AE30" s="96">
        <v>3629.79</v>
      </c>
      <c r="AF30" s="96">
        <v>1431459.676914</v>
      </c>
      <c r="AG30" s="96">
        <v>1233069.880195</v>
      </c>
      <c r="AH30" s="96">
        <v>430863</v>
      </c>
      <c r="AI30" s="96">
        <v>762045.90519400011</v>
      </c>
      <c r="AJ30" s="96"/>
      <c r="AK30" s="4"/>
    </row>
    <row r="31" spans="1:40" ht="63.75" customHeight="1" x14ac:dyDescent="0.25">
      <c r="A31" s="94"/>
      <c r="B31" s="95" t="s">
        <v>229</v>
      </c>
      <c r="C31" s="96">
        <v>50784.54</v>
      </c>
      <c r="D31" s="96">
        <v>18806.192999999999</v>
      </c>
      <c r="E31" s="96">
        <v>7763.8700000000008</v>
      </c>
      <c r="F31" s="96">
        <v>2906.732</v>
      </c>
      <c r="G31" s="96">
        <v>21306.745000000003</v>
      </c>
      <c r="H31" s="96">
        <v>855.92798193236706</v>
      </c>
      <c r="I31" s="96">
        <v>4472917.2815362997</v>
      </c>
      <c r="J31" s="96">
        <v>29350.0059</v>
      </c>
      <c r="K31" s="96">
        <v>7506.5100929999999</v>
      </c>
      <c r="L31" s="96">
        <v>1482.7</v>
      </c>
      <c r="M31" s="96">
        <v>4300</v>
      </c>
      <c r="N31" s="96">
        <v>54895.224172000002</v>
      </c>
      <c r="O31" s="96">
        <v>27812.267015000001</v>
      </c>
      <c r="P31" s="96">
        <v>10018.33</v>
      </c>
      <c r="Q31" s="96">
        <v>2955.77</v>
      </c>
      <c r="R31" s="96">
        <v>14108.857156999999</v>
      </c>
      <c r="S31" s="96">
        <v>868.94577037054398</v>
      </c>
      <c r="T31" s="96">
        <v>45324.989576</v>
      </c>
      <c r="U31" s="96">
        <v>29020.630335999998</v>
      </c>
      <c r="V31" s="96">
        <v>8693.9592400000001</v>
      </c>
      <c r="W31" s="96">
        <v>2936.3</v>
      </c>
      <c r="X31" s="96">
        <v>4674.1000000000004</v>
      </c>
      <c r="Y31" s="96">
        <v>74743.78</v>
      </c>
      <c r="Z31" s="96">
        <v>38156.525000000001</v>
      </c>
      <c r="AA31" s="96">
        <v>17285.230000000003</v>
      </c>
      <c r="AB31" s="96">
        <v>4028.95</v>
      </c>
      <c r="AC31" s="96">
        <v>15273.075000000001</v>
      </c>
      <c r="AD31" s="96">
        <v>922.44542931544163</v>
      </c>
      <c r="AE31" s="96">
        <v>68417.728999999992</v>
      </c>
      <c r="AF31" s="96">
        <v>19884</v>
      </c>
      <c r="AG31" s="96"/>
      <c r="AH31" s="96"/>
      <c r="AI31" s="96">
        <v>9813</v>
      </c>
      <c r="AJ31" s="96"/>
      <c r="AK31" s="4"/>
    </row>
    <row r="32" spans="1:40" ht="63.75" customHeight="1" x14ac:dyDescent="0.25">
      <c r="A32" s="94"/>
      <c r="B32" s="95" t="s">
        <v>60</v>
      </c>
      <c r="C32" s="96">
        <v>0</v>
      </c>
      <c r="D32" s="96">
        <v>0</v>
      </c>
      <c r="E32" s="96">
        <v>0</v>
      </c>
      <c r="F32" s="96">
        <v>0</v>
      </c>
      <c r="G32" s="96">
        <v>0</v>
      </c>
      <c r="H32" s="96">
        <v>101</v>
      </c>
      <c r="I32" s="96">
        <v>1172</v>
      </c>
      <c r="J32" s="96">
        <v>1061</v>
      </c>
      <c r="K32" s="96">
        <v>111</v>
      </c>
      <c r="L32" s="96">
        <v>0</v>
      </c>
      <c r="M32" s="96">
        <v>0</v>
      </c>
      <c r="N32" s="96">
        <v>0</v>
      </c>
      <c r="O32" s="96">
        <v>0</v>
      </c>
      <c r="P32" s="96">
        <v>0</v>
      </c>
      <c r="Q32" s="96">
        <v>0</v>
      </c>
      <c r="R32" s="96">
        <v>0</v>
      </c>
      <c r="S32" s="96">
        <v>0</v>
      </c>
      <c r="T32" s="96">
        <v>0</v>
      </c>
      <c r="U32" s="96">
        <v>0</v>
      </c>
      <c r="V32" s="96">
        <v>0</v>
      </c>
      <c r="W32" s="96">
        <v>0</v>
      </c>
      <c r="X32" s="96">
        <v>0</v>
      </c>
      <c r="Y32" s="96">
        <v>0</v>
      </c>
      <c r="Z32" s="96">
        <v>0</v>
      </c>
      <c r="AA32" s="96">
        <v>0</v>
      </c>
      <c r="AB32" s="96">
        <v>0</v>
      </c>
      <c r="AC32" s="96">
        <v>0</v>
      </c>
      <c r="AD32" s="96">
        <v>0</v>
      </c>
      <c r="AE32" s="96">
        <v>0</v>
      </c>
      <c r="AF32" s="96">
        <v>702250.01814300008</v>
      </c>
      <c r="AG32" s="96">
        <v>818713.07949999999</v>
      </c>
      <c r="AH32" s="96">
        <v>0</v>
      </c>
      <c r="AI32" s="96">
        <v>340656.90521400003</v>
      </c>
      <c r="AJ32" s="96"/>
      <c r="AK32" s="4"/>
    </row>
    <row r="33" spans="1:36" ht="25.5" x14ac:dyDescent="0.25">
      <c r="A33" s="99"/>
      <c r="B33" s="100" t="s">
        <v>230</v>
      </c>
      <c r="C33" s="101"/>
      <c r="D33" s="101"/>
      <c r="E33" s="102"/>
      <c r="F33" s="102"/>
      <c r="G33" s="102"/>
      <c r="H33" s="102"/>
      <c r="I33" s="102"/>
      <c r="J33" s="102"/>
      <c r="K33" s="102"/>
      <c r="L33" s="102"/>
      <c r="M33" s="102"/>
      <c r="N33" s="103"/>
      <c r="O33" s="103"/>
      <c r="P33" s="103"/>
      <c r="Q33" s="103"/>
      <c r="R33" s="103"/>
      <c r="S33" s="103"/>
      <c r="T33" s="103"/>
      <c r="U33" s="102"/>
      <c r="V33" s="102"/>
      <c r="W33" s="102"/>
      <c r="X33" s="102"/>
      <c r="Y33" s="103"/>
      <c r="Z33" s="103"/>
      <c r="AA33" s="103"/>
      <c r="AB33" s="103"/>
      <c r="AC33" s="103"/>
      <c r="AD33" s="103"/>
      <c r="AE33" s="103"/>
      <c r="AF33" s="102">
        <v>125925.66813899999</v>
      </c>
      <c r="AG33" s="102">
        <v>137777.29499999998</v>
      </c>
      <c r="AH33" s="102">
        <v>0</v>
      </c>
      <c r="AI33" s="102">
        <v>34747.071587999999</v>
      </c>
      <c r="AJ33" s="104"/>
    </row>
    <row r="34" spans="1:36" x14ac:dyDescent="0.25">
      <c r="A34" s="99"/>
      <c r="B34" s="100" t="s">
        <v>231</v>
      </c>
      <c r="C34" s="102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5"/>
      <c r="O34" s="105"/>
      <c r="P34" s="105"/>
      <c r="Q34" s="105"/>
      <c r="R34" s="105"/>
      <c r="S34" s="105"/>
      <c r="T34" s="105"/>
      <c r="U34" s="102"/>
      <c r="V34" s="102"/>
      <c r="W34" s="102"/>
      <c r="X34" s="102"/>
      <c r="Y34" s="105"/>
      <c r="Z34" s="105"/>
      <c r="AA34" s="105"/>
      <c r="AB34" s="105"/>
      <c r="AC34" s="105"/>
      <c r="AD34" s="105"/>
      <c r="AE34" s="105"/>
      <c r="AF34" s="102">
        <v>375.3</v>
      </c>
      <c r="AG34" s="102">
        <v>0</v>
      </c>
      <c r="AH34" s="102">
        <v>0</v>
      </c>
      <c r="AI34" s="102">
        <v>907.1</v>
      </c>
      <c r="AJ34" s="104"/>
    </row>
    <row r="35" spans="1:36" ht="25.5" x14ac:dyDescent="0.25">
      <c r="A35" s="99"/>
      <c r="B35" s="100" t="s">
        <v>232</v>
      </c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>
        <v>28551</v>
      </c>
      <c r="AG35" s="102"/>
      <c r="AH35" s="102"/>
      <c r="AI35" s="102">
        <v>13137</v>
      </c>
      <c r="AJ35" s="104"/>
    </row>
    <row r="36" spans="1:36" ht="25.5" x14ac:dyDescent="0.25">
      <c r="A36" s="106"/>
      <c r="B36" s="107" t="s">
        <v>233</v>
      </c>
      <c r="C36" s="108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  <c r="X36" s="108"/>
      <c r="Y36" s="108"/>
      <c r="Z36" s="108"/>
      <c r="AA36" s="108"/>
      <c r="AB36" s="108"/>
      <c r="AC36" s="108"/>
      <c r="AD36" s="108"/>
      <c r="AE36" s="108"/>
      <c r="AF36" s="108"/>
      <c r="AG36" s="108"/>
      <c r="AH36" s="108"/>
      <c r="AI36" s="108"/>
      <c r="AJ36" s="109"/>
    </row>
    <row r="37" spans="1:36" x14ac:dyDescent="0.25">
      <c r="A37" s="5"/>
      <c r="B37" s="6"/>
    </row>
    <row r="38" spans="1:36" x14ac:dyDescent="0.25">
      <c r="A38" s="5"/>
      <c r="B38" s="6"/>
    </row>
    <row r="39" spans="1:36" x14ac:dyDescent="0.25">
      <c r="A39" s="5"/>
      <c r="B39" s="6"/>
    </row>
    <row r="40" spans="1:36" x14ac:dyDescent="0.25">
      <c r="A40" s="5"/>
      <c r="B40" s="6"/>
    </row>
    <row r="41" spans="1:36" x14ac:dyDescent="0.25">
      <c r="A41" s="5"/>
      <c r="B41" s="6"/>
    </row>
    <row r="42" spans="1:36" x14ac:dyDescent="0.25">
      <c r="A42" s="5"/>
      <c r="B42" s="6"/>
    </row>
    <row r="43" spans="1:36" x14ac:dyDescent="0.25">
      <c r="A43" s="5"/>
      <c r="B43" s="6"/>
    </row>
    <row r="44" spans="1:36" x14ac:dyDescent="0.25">
      <c r="A44" s="5"/>
      <c r="B44" s="6"/>
    </row>
    <row r="45" spans="1:36" x14ac:dyDescent="0.25">
      <c r="A45" s="5"/>
      <c r="B45" s="6"/>
    </row>
    <row r="46" spans="1:36" x14ac:dyDescent="0.25">
      <c r="A46" s="5"/>
      <c r="B46" s="6"/>
    </row>
    <row r="47" spans="1:36" x14ac:dyDescent="0.25">
      <c r="A47" s="5"/>
      <c r="B47" s="6"/>
    </row>
    <row r="48" spans="1:36" x14ac:dyDescent="0.25">
      <c r="A48" s="5"/>
      <c r="B48" s="6"/>
    </row>
    <row r="49" spans="1:2" s="1" customFormat="1" x14ac:dyDescent="0.25">
      <c r="A49" s="5"/>
      <c r="B49" s="6"/>
    </row>
    <row r="50" spans="1:2" s="1" customFormat="1" x14ac:dyDescent="0.25">
      <c r="A50" s="5"/>
      <c r="B50" s="6"/>
    </row>
    <row r="51" spans="1:2" s="1" customFormat="1" x14ac:dyDescent="0.25">
      <c r="A51" s="5"/>
      <c r="B51" s="6"/>
    </row>
    <row r="52" spans="1:2" s="1" customFormat="1" x14ac:dyDescent="0.25">
      <c r="A52" s="5"/>
      <c r="B52" s="6"/>
    </row>
    <row r="53" spans="1:2" s="1" customFormat="1" x14ac:dyDescent="0.25">
      <c r="A53" s="5"/>
      <c r="B53" s="6"/>
    </row>
    <row r="54" spans="1:2" s="1" customFormat="1" x14ac:dyDescent="0.25">
      <c r="A54" s="5"/>
      <c r="B54" s="6"/>
    </row>
    <row r="55" spans="1:2" s="1" customFormat="1" x14ac:dyDescent="0.25">
      <c r="A55" s="5"/>
      <c r="B55" s="6"/>
    </row>
    <row r="56" spans="1:2" s="1" customFormat="1" x14ac:dyDescent="0.25">
      <c r="A56" s="5"/>
      <c r="B56" s="6"/>
    </row>
    <row r="57" spans="1:2" s="1" customFormat="1" x14ac:dyDescent="0.25">
      <c r="A57" s="5"/>
      <c r="B57" s="6"/>
    </row>
    <row r="58" spans="1:2" s="1" customFormat="1" x14ac:dyDescent="0.25">
      <c r="A58" s="5"/>
      <c r="B58" s="6"/>
    </row>
    <row r="59" spans="1:2" s="1" customFormat="1" x14ac:dyDescent="0.25">
      <c r="A59" s="5"/>
      <c r="B59" s="6"/>
    </row>
    <row r="60" spans="1:2" s="1" customFormat="1" x14ac:dyDescent="0.25">
      <c r="A60" s="5"/>
      <c r="B60" s="6"/>
    </row>
    <row r="61" spans="1:2" s="1" customFormat="1" x14ac:dyDescent="0.25">
      <c r="A61" s="5"/>
      <c r="B61" s="6"/>
    </row>
    <row r="62" spans="1:2" s="1" customFormat="1" x14ac:dyDescent="0.25">
      <c r="A62" s="5"/>
      <c r="B62" s="6"/>
    </row>
    <row r="63" spans="1:2" s="1" customFormat="1" x14ac:dyDescent="0.25">
      <c r="A63" s="5"/>
      <c r="B63" s="6"/>
    </row>
    <row r="64" spans="1:2" s="1" customFormat="1" x14ac:dyDescent="0.25">
      <c r="A64" s="5"/>
      <c r="B64" s="6"/>
    </row>
    <row r="65" spans="1:2" s="1" customFormat="1" x14ac:dyDescent="0.25">
      <c r="A65" s="5"/>
      <c r="B65" s="6"/>
    </row>
    <row r="66" spans="1:2" s="1" customFormat="1" x14ac:dyDescent="0.25">
      <c r="A66" s="5"/>
      <c r="B66" s="6"/>
    </row>
    <row r="67" spans="1:2" s="1" customFormat="1" x14ac:dyDescent="0.25">
      <c r="A67" s="5"/>
      <c r="B67" s="6"/>
    </row>
    <row r="68" spans="1:2" s="1" customFormat="1" x14ac:dyDescent="0.25">
      <c r="A68" s="5"/>
      <c r="B68" s="6"/>
    </row>
    <row r="69" spans="1:2" s="1" customFormat="1" x14ac:dyDescent="0.25">
      <c r="A69" s="5"/>
      <c r="B69" s="6"/>
    </row>
    <row r="70" spans="1:2" s="1" customFormat="1" x14ac:dyDescent="0.25">
      <c r="A70" s="5"/>
    </row>
    <row r="71" spans="1:2" s="1" customFormat="1" x14ac:dyDescent="0.25">
      <c r="A71" s="5"/>
    </row>
    <row r="72" spans="1:2" s="1" customFormat="1" x14ac:dyDescent="0.25">
      <c r="A72" s="5"/>
    </row>
    <row r="73" spans="1:2" s="1" customFormat="1" x14ac:dyDescent="0.25">
      <c r="A73" s="5"/>
    </row>
    <row r="74" spans="1:2" s="1" customFormat="1" x14ac:dyDescent="0.25">
      <c r="A74" s="5"/>
    </row>
    <row r="75" spans="1:2" s="1" customFormat="1" x14ac:dyDescent="0.25">
      <c r="A75" s="5"/>
    </row>
    <row r="76" spans="1:2" s="1" customFormat="1" x14ac:dyDescent="0.25">
      <c r="A76" s="5"/>
    </row>
    <row r="77" spans="1:2" s="1" customFormat="1" x14ac:dyDescent="0.25">
      <c r="A77" s="5"/>
    </row>
    <row r="78" spans="1:2" s="1" customFormat="1" x14ac:dyDescent="0.25">
      <c r="A78" s="5"/>
    </row>
    <row r="79" spans="1:2" s="1" customFormat="1" x14ac:dyDescent="0.25">
      <c r="A79" s="5"/>
    </row>
    <row r="80" spans="1:2" s="1" customFormat="1" x14ac:dyDescent="0.25">
      <c r="A80" s="5"/>
    </row>
    <row r="81" spans="1:1" s="1" customFormat="1" x14ac:dyDescent="0.25">
      <c r="A81" s="5"/>
    </row>
    <row r="82" spans="1:1" s="1" customFormat="1" x14ac:dyDescent="0.25">
      <c r="A82" s="5"/>
    </row>
    <row r="83" spans="1:1" s="1" customFormat="1" x14ac:dyDescent="0.25">
      <c r="A83" s="5"/>
    </row>
    <row r="84" spans="1:1" s="1" customFormat="1" x14ac:dyDescent="0.25">
      <c r="A84" s="5"/>
    </row>
    <row r="85" spans="1:1" s="1" customFormat="1" x14ac:dyDescent="0.25">
      <c r="A85" s="5"/>
    </row>
    <row r="86" spans="1:1" s="1" customFormat="1" x14ac:dyDescent="0.25">
      <c r="A86" s="5"/>
    </row>
    <row r="87" spans="1:1" s="1" customFormat="1" x14ac:dyDescent="0.25">
      <c r="A87" s="5"/>
    </row>
    <row r="88" spans="1:1" s="1" customFormat="1" x14ac:dyDescent="0.25">
      <c r="A88" s="5"/>
    </row>
    <row r="89" spans="1:1" s="1" customFormat="1" x14ac:dyDescent="0.25">
      <c r="A89" s="5"/>
    </row>
  </sheetData>
  <mergeCells count="26">
    <mergeCell ref="AJ6:AJ8"/>
    <mergeCell ref="C7:C8"/>
    <mergeCell ref="D7:G7"/>
    <mergeCell ref="H7:H8"/>
    <mergeCell ref="I7:I8"/>
    <mergeCell ref="J7:M7"/>
    <mergeCell ref="N7:N8"/>
    <mergeCell ref="O7:R7"/>
    <mergeCell ref="S7:S8"/>
    <mergeCell ref="T7:T8"/>
    <mergeCell ref="U7:X7"/>
    <mergeCell ref="Y7:Y8"/>
    <mergeCell ref="Z7:AC7"/>
    <mergeCell ref="AD7:AD8"/>
    <mergeCell ref="AE7:AE8"/>
    <mergeCell ref="A1:D1"/>
    <mergeCell ref="N1:AJ1"/>
    <mergeCell ref="A2:D2"/>
    <mergeCell ref="N2:AJ2"/>
    <mergeCell ref="A4:AJ4"/>
    <mergeCell ref="A6:A8"/>
    <mergeCell ref="B6:B8"/>
    <mergeCell ref="C6:M6"/>
    <mergeCell ref="N6:X6"/>
    <mergeCell ref="Y6:AI6"/>
    <mergeCell ref="AF7:AI7"/>
  </mergeCells>
  <pageMargins left="0" right="0" top="0.75" bottom="0.75" header="0.3" footer="0.3"/>
  <pageSetup paperSize="9" scale="4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PL9-NSNN cấp cho ĐVSNCL</vt:lpstr>
      <vt:lpstr>pl 09 cấp huyen</vt:lpstr>
      <vt:lpstr>'PL9-NSNN cấp cho ĐVSNCL'!Print_Area</vt:lpstr>
      <vt:lpstr>'PL9-NSNN cấp cho ĐVSNCL'!Print_Titles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Phạm Tăng Bình</cp:lastModifiedBy>
  <cp:lastPrinted>2022-07-22T04:44:42Z</cp:lastPrinted>
  <dcterms:created xsi:type="dcterms:W3CDTF">2022-05-17T09:22:25Z</dcterms:created>
  <dcterms:modified xsi:type="dcterms:W3CDTF">2022-07-22T04:49:24Z</dcterms:modified>
</cp:coreProperties>
</file>